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BBF1ACEF-121A-48BC-A0F2-B8AB5269A365}" xr6:coauthVersionLast="47" xr6:coauthVersionMax="47" xr10:uidLastSave="{00000000-0000-0000-0000-000000000000}"/>
  <bookViews>
    <workbookView xWindow="-108" yWindow="-108" windowWidth="23256" windowHeight="12576" xr2:uid="{911BB1A6-BF45-4C80-B217-662861EE6E42}"/>
  </bookViews>
  <sheets>
    <sheet name="Lisa 8 MKM_toetused" sheetId="1" r:id="rId1"/>
  </sheets>
  <definedNames>
    <definedName name="_xlnm._FilterDatabase" localSheetId="0" hidden="1">'Lisa 8 MKM_toetused'!$A$18:$R$147</definedName>
    <definedName name="_xlnm.Print_Area" localSheetId="0">'Lisa 8 MKM_toetused'!$A$1:$L$144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1" i="1" l="1"/>
  <c r="R122" i="1" s="1"/>
  <c r="M122" i="1"/>
  <c r="N122" i="1"/>
  <c r="O122" i="1"/>
  <c r="P122" i="1"/>
  <c r="Q122" i="1"/>
  <c r="L122" i="1"/>
  <c r="O85" i="1"/>
  <c r="M147" i="1"/>
  <c r="N147" i="1"/>
  <c r="O147" i="1"/>
  <c r="P147" i="1"/>
  <c r="Q147" i="1"/>
  <c r="M144" i="1"/>
  <c r="N144" i="1"/>
  <c r="O144" i="1"/>
  <c r="P144" i="1"/>
  <c r="Q144" i="1"/>
  <c r="M141" i="1"/>
  <c r="N141" i="1"/>
  <c r="O141" i="1"/>
  <c r="P141" i="1"/>
  <c r="Q141" i="1"/>
  <c r="M139" i="1"/>
  <c r="N139" i="1"/>
  <c r="O139" i="1"/>
  <c r="P139" i="1"/>
  <c r="Q139" i="1"/>
  <c r="M137" i="1"/>
  <c r="N137" i="1"/>
  <c r="O137" i="1"/>
  <c r="P137" i="1"/>
  <c r="Q137" i="1"/>
  <c r="M134" i="1"/>
  <c r="N134" i="1"/>
  <c r="O134" i="1"/>
  <c r="P134" i="1"/>
  <c r="Q134" i="1"/>
  <c r="M129" i="1"/>
  <c r="N129" i="1"/>
  <c r="O129" i="1"/>
  <c r="P129" i="1"/>
  <c r="Q129" i="1"/>
  <c r="M126" i="1"/>
  <c r="N126" i="1"/>
  <c r="O126" i="1"/>
  <c r="P126" i="1"/>
  <c r="Q126" i="1"/>
  <c r="M120" i="1"/>
  <c r="N120" i="1"/>
  <c r="O120" i="1"/>
  <c r="P120" i="1"/>
  <c r="Q120" i="1"/>
  <c r="M118" i="1"/>
  <c r="N118" i="1"/>
  <c r="O118" i="1"/>
  <c r="P118" i="1"/>
  <c r="Q118" i="1"/>
  <c r="M116" i="1"/>
  <c r="N116" i="1"/>
  <c r="O116" i="1"/>
  <c r="P116" i="1"/>
  <c r="Q116" i="1"/>
  <c r="M113" i="1"/>
  <c r="N113" i="1"/>
  <c r="O113" i="1"/>
  <c r="P113" i="1"/>
  <c r="Q113" i="1"/>
  <c r="M105" i="1"/>
  <c r="N105" i="1"/>
  <c r="O105" i="1"/>
  <c r="P105" i="1"/>
  <c r="Q105" i="1"/>
  <c r="M103" i="1"/>
  <c r="N103" i="1"/>
  <c r="O103" i="1"/>
  <c r="P103" i="1"/>
  <c r="Q103" i="1"/>
  <c r="M96" i="1"/>
  <c r="N96" i="1"/>
  <c r="O96" i="1"/>
  <c r="P96" i="1"/>
  <c r="Q96" i="1"/>
  <c r="M93" i="1"/>
  <c r="N93" i="1"/>
  <c r="M66" i="1"/>
  <c r="N66" i="1"/>
  <c r="O66" i="1"/>
  <c r="Q66" i="1"/>
  <c r="M61" i="1"/>
  <c r="N61" i="1"/>
  <c r="O61" i="1"/>
  <c r="P61" i="1"/>
  <c r="Q61" i="1"/>
  <c r="M59" i="1"/>
  <c r="N59" i="1"/>
  <c r="O59" i="1"/>
  <c r="P59" i="1"/>
  <c r="Q59" i="1"/>
  <c r="M56" i="1"/>
  <c r="N56" i="1"/>
  <c r="O56" i="1"/>
  <c r="P56" i="1"/>
  <c r="Q56" i="1"/>
  <c r="M54" i="1"/>
  <c r="N54" i="1"/>
  <c r="O54" i="1"/>
  <c r="P54" i="1"/>
  <c r="Q54" i="1"/>
  <c r="M50" i="1"/>
  <c r="N50" i="1"/>
  <c r="O50" i="1"/>
  <c r="P50" i="1"/>
  <c r="Q50" i="1"/>
  <c r="M48" i="1"/>
  <c r="N48" i="1"/>
  <c r="O48" i="1"/>
  <c r="P48" i="1"/>
  <c r="Q48" i="1"/>
  <c r="M46" i="1"/>
  <c r="N46" i="1"/>
  <c r="O46" i="1"/>
  <c r="P46" i="1"/>
  <c r="Q46" i="1"/>
  <c r="M44" i="1"/>
  <c r="N44" i="1"/>
  <c r="O44" i="1"/>
  <c r="P44" i="1"/>
  <c r="Q44" i="1"/>
  <c r="M42" i="1"/>
  <c r="P42" i="1"/>
  <c r="Q42" i="1"/>
  <c r="M33" i="1"/>
  <c r="N33" i="1"/>
  <c r="O33" i="1"/>
  <c r="P33" i="1"/>
  <c r="Q33" i="1"/>
  <c r="M29" i="1"/>
  <c r="N29" i="1"/>
  <c r="O29" i="1"/>
  <c r="P29" i="1"/>
  <c r="Q29" i="1"/>
  <c r="N27" i="1"/>
  <c r="O27" i="1"/>
  <c r="P27" i="1"/>
  <c r="Q27" i="1"/>
  <c r="R36" i="1"/>
  <c r="R38" i="1"/>
  <c r="R39" i="1"/>
  <c r="R40" i="1"/>
  <c r="R58" i="1"/>
  <c r="R72" i="1"/>
  <c r="R83" i="1"/>
  <c r="R99" i="1"/>
  <c r="R101" i="1"/>
  <c r="R140" i="1"/>
  <c r="R141" i="1" s="1"/>
  <c r="R145" i="1"/>
  <c r="R146" i="1"/>
  <c r="P63" i="1"/>
  <c r="P66" i="1" s="1"/>
  <c r="I59" i="1"/>
  <c r="J59" i="1"/>
  <c r="K59" i="1"/>
  <c r="I141" i="1"/>
  <c r="J141" i="1"/>
  <c r="K141" i="1"/>
  <c r="J113" i="1"/>
  <c r="K113" i="1"/>
  <c r="J93" i="1"/>
  <c r="J66" i="1"/>
  <c r="J48" i="1"/>
  <c r="K48" i="1"/>
  <c r="I48" i="1"/>
  <c r="J27" i="1"/>
  <c r="K27" i="1"/>
  <c r="I27" i="1"/>
  <c r="O13" i="1"/>
  <c r="P13" i="1"/>
  <c r="Q13" i="1"/>
  <c r="I13" i="1"/>
  <c r="J13" i="1"/>
  <c r="K13" i="1"/>
  <c r="M13" i="1"/>
  <c r="M12" i="1"/>
  <c r="N12" i="1"/>
  <c r="O12" i="1"/>
  <c r="P12" i="1"/>
  <c r="Q12" i="1"/>
  <c r="I12" i="1"/>
  <c r="J12" i="1"/>
  <c r="K12" i="1"/>
  <c r="J11" i="1"/>
  <c r="M11" i="1"/>
  <c r="N11" i="1"/>
  <c r="O11" i="1"/>
  <c r="P11" i="1"/>
  <c r="Q11" i="1"/>
  <c r="I11" i="1"/>
  <c r="J9" i="1"/>
  <c r="K9" i="1"/>
  <c r="M9" i="1"/>
  <c r="N9" i="1"/>
  <c r="P9" i="1"/>
  <c r="J8" i="1"/>
  <c r="M8" i="1"/>
  <c r="N8" i="1"/>
  <c r="Q8" i="1"/>
  <c r="J7" i="1"/>
  <c r="K7" i="1"/>
  <c r="M7" i="1"/>
  <c r="P7" i="1"/>
  <c r="Q7" i="1"/>
  <c r="I7" i="1"/>
  <c r="J6" i="1"/>
  <c r="K6" i="1"/>
  <c r="N6" i="1"/>
  <c r="O6" i="1"/>
  <c r="P6" i="1"/>
  <c r="Q6" i="1"/>
  <c r="M10" i="1"/>
  <c r="N10" i="1"/>
  <c r="Q10" i="1"/>
  <c r="J10" i="1"/>
  <c r="L71" i="1"/>
  <c r="R71" i="1" s="1"/>
  <c r="R147" i="1" l="1"/>
  <c r="L26" i="1"/>
  <c r="R26" i="1" s="1"/>
  <c r="L23" i="1"/>
  <c r="R23" i="1" s="1"/>
  <c r="L47" i="1"/>
  <c r="L48" i="1" l="1"/>
  <c r="R47" i="1"/>
  <c r="R48" i="1" s="1"/>
  <c r="O37" i="1"/>
  <c r="R37" i="1" l="1"/>
  <c r="O42" i="1"/>
  <c r="O7" i="1"/>
  <c r="P73" i="1" l="1"/>
  <c r="O73" i="1"/>
  <c r="O8" i="1" s="1"/>
  <c r="P8" i="1" l="1"/>
  <c r="O79" i="1"/>
  <c r="O88" i="1"/>
  <c r="O68" i="1"/>
  <c r="O9" i="1" l="1"/>
  <c r="O10" i="1"/>
  <c r="O93" i="1" l="1"/>
  <c r="O18" i="1" s="1"/>
  <c r="P88" i="1"/>
  <c r="N41" i="1"/>
  <c r="P93" i="1" l="1"/>
  <c r="P18" i="1"/>
  <c r="R41" i="1"/>
  <c r="N42" i="1"/>
  <c r="N18" i="1" s="1"/>
  <c r="P10" i="1"/>
  <c r="N7" i="1"/>
  <c r="R12" i="1" l="1"/>
  <c r="N13" i="1"/>
  <c r="L12" i="1"/>
  <c r="Q79" i="1"/>
  <c r="L147" i="1"/>
  <c r="K147" i="1"/>
  <c r="J147" i="1"/>
  <c r="I147" i="1"/>
  <c r="Q93" i="1" l="1"/>
  <c r="Q18" i="1" s="1"/>
  <c r="Q9" i="1"/>
  <c r="Q14" i="1" s="1"/>
  <c r="N14" i="1"/>
  <c r="L21" i="1" l="1"/>
  <c r="R21" i="1" s="1"/>
  <c r="L22" i="1"/>
  <c r="R22" i="1" s="1"/>
  <c r="L24" i="1"/>
  <c r="R24" i="1" s="1"/>
  <c r="L25" i="1"/>
  <c r="R25" i="1" s="1"/>
  <c r="L20" i="1"/>
  <c r="L141" i="1"/>
  <c r="P14" i="1" l="1"/>
  <c r="M20" i="1"/>
  <c r="R20" i="1" l="1"/>
  <c r="M27" i="1"/>
  <c r="M18" i="1"/>
  <c r="M6" i="1"/>
  <c r="M14" i="1" s="1"/>
  <c r="K63" i="1"/>
  <c r="K66" i="1" s="1"/>
  <c r="L60" i="1"/>
  <c r="R60" i="1" s="1"/>
  <c r="R61" i="1" s="1"/>
  <c r="L104" i="1" l="1"/>
  <c r="R104" i="1" s="1"/>
  <c r="R105" i="1" s="1"/>
  <c r="J105" i="1"/>
  <c r="K105" i="1"/>
  <c r="I105" i="1"/>
  <c r="J61" i="1"/>
  <c r="K61" i="1"/>
  <c r="L61" i="1"/>
  <c r="I61" i="1"/>
  <c r="L105" i="1" l="1"/>
  <c r="K73" i="1"/>
  <c r="I73" i="1"/>
  <c r="I63" i="1"/>
  <c r="L57" i="1"/>
  <c r="L55" i="1"/>
  <c r="R55" i="1" s="1"/>
  <c r="R56" i="1" s="1"/>
  <c r="J56" i="1"/>
  <c r="K56" i="1"/>
  <c r="I56" i="1"/>
  <c r="J54" i="1"/>
  <c r="K54" i="1"/>
  <c r="I54" i="1"/>
  <c r="L52" i="1"/>
  <c r="R52" i="1" s="1"/>
  <c r="L53" i="1"/>
  <c r="R53" i="1" s="1"/>
  <c r="L51" i="1"/>
  <c r="R51" i="1" s="1"/>
  <c r="R54" i="1" s="1"/>
  <c r="K49" i="1"/>
  <c r="J50" i="1"/>
  <c r="I50" i="1"/>
  <c r="R57" i="1" l="1"/>
  <c r="R59" i="1" s="1"/>
  <c r="L59" i="1"/>
  <c r="I8" i="1"/>
  <c r="L49" i="1"/>
  <c r="R49" i="1" s="1"/>
  <c r="R50" i="1" s="1"/>
  <c r="K8" i="1"/>
  <c r="L50" i="1"/>
  <c r="L56" i="1"/>
  <c r="K50" i="1"/>
  <c r="L54" i="1"/>
  <c r="J116" i="1"/>
  <c r="K116" i="1"/>
  <c r="I116" i="1"/>
  <c r="L114" i="1"/>
  <c r="R114" i="1" s="1"/>
  <c r="K94" i="1"/>
  <c r="L94" i="1" s="1"/>
  <c r="R94" i="1" s="1"/>
  <c r="L95" i="1"/>
  <c r="R95" i="1" s="1"/>
  <c r="L62" i="1"/>
  <c r="R62" i="1" s="1"/>
  <c r="J103" i="1"/>
  <c r="K103" i="1"/>
  <c r="L98" i="1"/>
  <c r="R98" i="1" s="1"/>
  <c r="L100" i="1"/>
  <c r="R100" i="1" s="1"/>
  <c r="L102" i="1"/>
  <c r="R102" i="1" s="1"/>
  <c r="I65" i="1"/>
  <c r="R96" i="1" l="1"/>
  <c r="J96" i="1"/>
  <c r="K96" i="1"/>
  <c r="L96" i="1"/>
  <c r="I96" i="1"/>
  <c r="K88" i="1" l="1"/>
  <c r="L82" i="1"/>
  <c r="R82" i="1" s="1"/>
  <c r="J144" i="1"/>
  <c r="K144" i="1"/>
  <c r="J139" i="1"/>
  <c r="J137" i="1"/>
  <c r="J134" i="1"/>
  <c r="K134" i="1"/>
  <c r="I134" i="1"/>
  <c r="J129" i="1"/>
  <c r="K129" i="1"/>
  <c r="J126" i="1"/>
  <c r="K126" i="1"/>
  <c r="I126" i="1"/>
  <c r="J120" i="1"/>
  <c r="K120" i="1"/>
  <c r="J118" i="1"/>
  <c r="K118" i="1"/>
  <c r="K10" i="1" l="1"/>
  <c r="K93" i="1"/>
  <c r="J46" i="1"/>
  <c r="K46" i="1"/>
  <c r="J44" i="1"/>
  <c r="K44" i="1"/>
  <c r="J42" i="1"/>
  <c r="K42" i="1"/>
  <c r="J33" i="1"/>
  <c r="K33" i="1"/>
  <c r="J29" i="1"/>
  <c r="K29" i="1"/>
  <c r="K138" i="1" l="1"/>
  <c r="K139" i="1" s="1"/>
  <c r="K136" i="1"/>
  <c r="K137" i="1" l="1"/>
  <c r="K11" i="1"/>
  <c r="L133" i="1"/>
  <c r="R133" i="1" s="1"/>
  <c r="L132" i="1"/>
  <c r="R132" i="1" s="1"/>
  <c r="L138" i="1"/>
  <c r="R138" i="1" s="1"/>
  <c r="R139" i="1" s="1"/>
  <c r="L136" i="1"/>
  <c r="R136" i="1" s="1"/>
  <c r="L135" i="1"/>
  <c r="R135" i="1" s="1"/>
  <c r="L131" i="1"/>
  <c r="R131" i="1" s="1"/>
  <c r="L143" i="1"/>
  <c r="L142" i="1"/>
  <c r="R142" i="1" s="1"/>
  <c r="L130" i="1"/>
  <c r="R130" i="1" s="1"/>
  <c r="L128" i="1"/>
  <c r="R128" i="1" s="1"/>
  <c r="L127" i="1"/>
  <c r="R127" i="1" s="1"/>
  <c r="R129" i="1" s="1"/>
  <c r="L125" i="1"/>
  <c r="R125" i="1" s="1"/>
  <c r="L124" i="1"/>
  <c r="R124" i="1" s="1"/>
  <c r="L123" i="1"/>
  <c r="R123" i="1" s="1"/>
  <c r="L119" i="1"/>
  <c r="R119" i="1" s="1"/>
  <c r="R120" i="1" s="1"/>
  <c r="L117" i="1"/>
  <c r="R117" i="1" s="1"/>
  <c r="R118" i="1" s="1"/>
  <c r="L115" i="1"/>
  <c r="R115" i="1" s="1"/>
  <c r="R116" i="1" s="1"/>
  <c r="L112" i="1"/>
  <c r="R112" i="1" s="1"/>
  <c r="L111" i="1"/>
  <c r="R111" i="1" s="1"/>
  <c r="L110" i="1"/>
  <c r="R110" i="1" s="1"/>
  <c r="L109" i="1"/>
  <c r="R109" i="1" s="1"/>
  <c r="L108" i="1"/>
  <c r="R108" i="1" s="1"/>
  <c r="L107" i="1"/>
  <c r="R107" i="1" s="1"/>
  <c r="L106" i="1"/>
  <c r="R106" i="1" s="1"/>
  <c r="L97" i="1"/>
  <c r="R97" i="1" s="1"/>
  <c r="R103" i="1" s="1"/>
  <c r="L92" i="1"/>
  <c r="R92" i="1" s="1"/>
  <c r="L91" i="1"/>
  <c r="R91" i="1" s="1"/>
  <c r="L90" i="1"/>
  <c r="R90" i="1" s="1"/>
  <c r="L89" i="1"/>
  <c r="R89" i="1" s="1"/>
  <c r="L87" i="1"/>
  <c r="R87" i="1" s="1"/>
  <c r="L86" i="1"/>
  <c r="R86" i="1" s="1"/>
  <c r="L84" i="1"/>
  <c r="R84" i="1" s="1"/>
  <c r="L81" i="1"/>
  <c r="R81" i="1" s="1"/>
  <c r="L80" i="1"/>
  <c r="R80" i="1" s="1"/>
  <c r="L78" i="1"/>
  <c r="R78" i="1" s="1"/>
  <c r="L77" i="1"/>
  <c r="R77" i="1" s="1"/>
  <c r="L76" i="1"/>
  <c r="R76" i="1" s="1"/>
  <c r="L75" i="1"/>
  <c r="R75" i="1" s="1"/>
  <c r="L74" i="1"/>
  <c r="R74" i="1" s="1"/>
  <c r="L64" i="1"/>
  <c r="R64" i="1" s="1"/>
  <c r="L70" i="1"/>
  <c r="R70" i="1" s="1"/>
  <c r="L68" i="1"/>
  <c r="R68" i="1" s="1"/>
  <c r="L67" i="1"/>
  <c r="R67" i="1" s="1"/>
  <c r="L45" i="1"/>
  <c r="R45" i="1" s="1"/>
  <c r="L43" i="1"/>
  <c r="R43" i="1" s="1"/>
  <c r="R44" i="1" s="1"/>
  <c r="L35" i="1"/>
  <c r="R35" i="1" s="1"/>
  <c r="L34" i="1"/>
  <c r="L32" i="1"/>
  <c r="R32" i="1" s="1"/>
  <c r="L31" i="1"/>
  <c r="R31" i="1" s="1"/>
  <c r="L30" i="1"/>
  <c r="R30" i="1" s="1"/>
  <c r="L28" i="1"/>
  <c r="R28" i="1" s="1"/>
  <c r="R29" i="1" s="1"/>
  <c r="K18" i="1"/>
  <c r="L19" i="1"/>
  <c r="R113" i="1" l="1"/>
  <c r="R126" i="1"/>
  <c r="R137" i="1"/>
  <c r="R33" i="1"/>
  <c r="R134" i="1"/>
  <c r="R144" i="1"/>
  <c r="L27" i="1"/>
  <c r="R19" i="1"/>
  <c r="R27" i="1" s="1"/>
  <c r="R46" i="1"/>
  <c r="L7" i="1"/>
  <c r="R34" i="1"/>
  <c r="R42" i="1" s="1"/>
  <c r="L13" i="1"/>
  <c r="R143" i="1"/>
  <c r="L113" i="1"/>
  <c r="L11" i="1"/>
  <c r="L42" i="1"/>
  <c r="L120" i="1"/>
  <c r="L46" i="1"/>
  <c r="L144" i="1"/>
  <c r="L44" i="1"/>
  <c r="L29" i="1"/>
  <c r="L129" i="1"/>
  <c r="L139" i="1"/>
  <c r="L118" i="1"/>
  <c r="L103" i="1"/>
  <c r="L116" i="1"/>
  <c r="L137" i="1"/>
  <c r="L126" i="1"/>
  <c r="L134" i="1"/>
  <c r="L33" i="1"/>
  <c r="I46" i="1"/>
  <c r="I144" i="1"/>
  <c r="I137" i="1"/>
  <c r="I139" i="1"/>
  <c r="I29" i="1"/>
  <c r="R13" i="1" l="1"/>
  <c r="R7" i="1"/>
  <c r="R11" i="1"/>
  <c r="K14" i="1"/>
  <c r="J14" i="1"/>
  <c r="J18" i="1" l="1"/>
  <c r="L73" i="1" l="1"/>
  <c r="R73" i="1" s="1"/>
  <c r="I129" i="1"/>
  <c r="I120" i="1"/>
  <c r="I118" i="1"/>
  <c r="I113" i="1"/>
  <c r="I103" i="1"/>
  <c r="I88" i="1"/>
  <c r="L88" i="1" s="1"/>
  <c r="R88" i="1" s="1"/>
  <c r="I85" i="1"/>
  <c r="I79" i="1"/>
  <c r="I69" i="1"/>
  <c r="L65" i="1"/>
  <c r="R65" i="1" s="1"/>
  <c r="I66" i="1"/>
  <c r="I44" i="1"/>
  <c r="I42" i="1"/>
  <c r="I33" i="1"/>
  <c r="L85" i="1" l="1"/>
  <c r="I10" i="1"/>
  <c r="L69" i="1"/>
  <c r="R69" i="1" s="1"/>
  <c r="I6" i="1"/>
  <c r="L79" i="1"/>
  <c r="L93" i="1" s="1"/>
  <c r="I9" i="1"/>
  <c r="L6" i="1"/>
  <c r="L9" i="1"/>
  <c r="L10" i="1"/>
  <c r="L63" i="1"/>
  <c r="I93" i="1"/>
  <c r="I18" i="1" s="1"/>
  <c r="R9" i="1" l="1"/>
  <c r="R79" i="1"/>
  <c r="L66" i="1"/>
  <c r="L18" i="1" s="1"/>
  <c r="R63" i="1"/>
  <c r="R10" i="1"/>
  <c r="R85" i="1"/>
  <c r="L8" i="1"/>
  <c r="L14" i="1" s="1"/>
  <c r="I14" i="1"/>
  <c r="R93" i="1" l="1"/>
  <c r="R66" i="1"/>
  <c r="R18" i="1"/>
  <c r="R8" i="1"/>
  <c r="O14" i="1"/>
  <c r="R6" i="1" l="1"/>
  <c r="R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tc={8CB6B49E-B3BF-4163-89D6-C428EFD495EC}</author>
    <author>tc={7752C26D-A5D3-4720-8535-772C39D0802F}</author>
    <author>tc={2F86FC18-0532-4E7E-83F4-ABD1B1EA5979}</author>
    <author>tc={9D152E3C-4AFE-4779-8B38-C69C96B185BB}</author>
    <author>tc={D7F75D93-67E4-4CEE-A797-8AD0BA1764D6}</author>
    <author>tc={B8042C57-692D-40B2-88CC-09320E55163A}</author>
    <author>tc={5B57ED93-736F-4925-B20D-F00FF09BAF05}</author>
    <author>tc={006029BA-D35F-4347-9D31-5B9D2840CCD4}</author>
    <author>tc={6C63ABCA-2462-419C-A458-F70266E65362}</author>
    <author>tc={D776FA2A-2332-4550-B465-F3EEB8763E6E}</author>
    <author>tc={04ABDF53-4F2A-4A95-B861-77C2B60007D8}</author>
    <author>tc={F4D35221-AA24-493D-95B1-8C342290F399}</author>
    <author>tc={4A319604-AA43-4642-8B2F-558F63413987}</author>
    <author>tc={4B1A5439-9188-40C6-8CDC-3D4FBF6C0D55}</author>
    <author>tc={AC121974-78A6-4C84-8E55-0CE0A193D435}</author>
    <author>tc={BF775157-8E5A-4D1C-A183-396DB008EDED}</author>
    <author>tc={FC94BB04-D384-4D0B-8BAE-1986074F1A4C}</author>
    <author>tc={EB02F770-0D22-46EA-A899-04728148BE22}</author>
    <author>tc={8042C6B8-D391-4F94-9266-302C87F0EBC7}</author>
    <author>tc={CD161EC8-8C29-488A-A12E-FA4A28F64F3A}</author>
    <author>tc={7DFF3D93-4B12-4D05-9266-451C44C8F74B}</author>
    <author>tc={F3DDDEDF-8C0D-4E44-AC99-AAF274D408C0}</author>
    <author>tc={1FCA0228-CC84-47D8-80BE-D7324F5188EC}</author>
    <author>tc={8A1124C6-D4B4-4F5D-9D1F-E65D0CB8BAED}</author>
  </authors>
  <commentList>
    <comment ref="K34" authorId="0" shapeId="0" xr:uid="{8CB6B49E-B3BF-4163-89D6-C428EFD495E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Suunati RIKSi tegev toetusesse</t>
      </text>
    </comment>
    <comment ref="K35" authorId="1" shapeId="0" xr:uid="{7752C26D-A5D3-4720-8535-772C39D0802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RIKSi inv toetuste arvelt</t>
      </text>
    </comment>
    <comment ref="H49" authorId="2" shapeId="0" xr:uid="{2F86FC18-0532-4E7E-83F4-ABD1B1EA597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Sh ESA ja CERNi liikmemaksud 1,9 M, mis ületavad RO maksude eelarvet</t>
      </text>
    </comment>
    <comment ref="P55" authorId="3" shapeId="0" xr:uid="{9D152E3C-4AFE-4779-8B38-C69C96B185B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Lep alusel kanti TY-le üle 270 tuh €</t>
      </text>
    </comment>
    <comment ref="K62" authorId="4" shapeId="0" xr:uid="{D7F75D93-67E4-4CEE-A797-8AD0BA1764D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Metroserdile</t>
      </text>
    </comment>
    <comment ref="K63" authorId="5" shapeId="0" xr:uid="{B8042C57-692D-40B2-88CC-09320E55163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+367 tuh LifeSaver EISile + 20,1 M EISile jt laiali jagatud - 1 M inv toetustest juurde lisatud - 240 tuh Tööandjate Keskliidule</t>
      </text>
    </comment>
    <comment ref="P63" authorId="6" shapeId="0" xr:uid="{5B57ED93-736F-4925-B20D-F00FF09BAF0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3,3 M suunatud EISile IPCEI RUPile juurde + 240 tuh ETKLi vahendid EISile, mis algselt võeti EISi eelarvest maha, 55 tuh TY lep alusel vastav ülekandele</t>
      </text>
    </comment>
    <comment ref="K64" authorId="7" shapeId="0" xr:uid="{006029BA-D35F-4347-9D31-5B9D2840CCD4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1 M inv toetust suunasin TA tegev toetustesse, sest kasutatakse tegev toetusena </t>
      </text>
    </comment>
    <comment ref="I65" authorId="8" shapeId="0" xr:uid="{6C63ABCA-2462-419C-A458-F70266E6536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UA_militaar kulud ei ole toetus, vaid MKMi teg kulud, seetõttu võtsin siit 100 tuh maha</t>
      </text>
    </comment>
    <comment ref="P69" authorId="9" shapeId="0" xr:uid="{D776FA2A-2332-4550-B465-F3EEB8763E6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Energiatõhusus IEA vahendid 25 tuh, mida EIS enam ei kasuta, jäävad MKMile</t>
      </text>
    </comment>
    <comment ref="I73" authorId="10" shapeId="0" xr:uid="{04ABDF53-4F2A-4A95-B861-77C2B60007D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EISi lepingust võeti välja grant 8N10-RE00-05231 toote- ja tehnol. arendusprogramm 883 867 € ja jäeti MKMile. Selle võrra on EISi lepingu summa siin lisas olevast summast väiksem!</t>
      </text>
    </comment>
    <comment ref="K73" authorId="11" shapeId="0" xr:uid="{F4D35221-AA24-493D-95B1-8C342290F39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-138 tuh grandilt "uusturg"-367 tuh LifeSaver EISile - 7 001,5 tuh EISile TA "üldpotist"</t>
      </text>
    </comment>
    <comment ref="P73" authorId="12" shapeId="0" xr:uid="{4A319604-AA43-4642-8B2F-558F6341398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EISi lepingust võeti välja grant 8N10-RE00-05231 toote- ja tehnol. arendusprogramm 883 867 € ja jäeti MKMile. 
Vastus:
    3,3 mln anti MKMi TA 1% üldpotist IPCEI RUPile juurde + 240 tuh ETKLile, mis algselt võeti EISilt ära</t>
      </text>
    </comment>
    <comment ref="B81" authorId="13" shapeId="0" xr:uid="{4B1A5439-9188-40C6-8CDC-3D4FBF6C0D55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>
      </text>
    </comment>
    <comment ref="B82" authorId="14" shapeId="0" xr:uid="{AC121974-78A6-4C84-8E55-0CE0A193D435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>
      </text>
    </comment>
    <comment ref="K88" authorId="15" shapeId="0" xr:uid="{BF775157-8E5A-4D1C-A183-396DB008EDE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138 tuh suunati grandi "arendusvoi" alla, 75 tuh võeti MKMile Tallinna Strateegiakeskusele konverentsi Green Destinations korraldamiseks</t>
      </text>
    </comment>
    <comment ref="P88" authorId="16" shapeId="0" xr:uid="{FC94BB04-D384-4D0B-8BAE-1986074F1A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75 tuh anti EISile Tallinna Strateegiakeskuse konverentsi Green Destinations korraldamiseks tagasi
Vastus:
    EISilt võeti 25 tuh MKMile väikesadamate hankeks</t>
      </text>
    </comment>
    <comment ref="R93" authorId="17" shapeId="0" xr:uid="{EB02F770-0D22-46EA-A899-04728148BE2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Sisaldab 95 076 € startupkyber vahendeid</t>
      </text>
    </comment>
    <comment ref="K94" authorId="18" shapeId="0" xr:uid="{8042C6B8-D391-4F94-9266-302C87F0EBC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TEPist 40 tuh RTE ja 20 tuh MAO</t>
      </text>
    </comment>
    <comment ref="K95" authorId="19" shapeId="0" xr:uid="{CD161EC8-8C29-488A-A12E-FA4A28F64F3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20 tuhi turismist Külli K</t>
      </text>
    </comment>
    <comment ref="K104" authorId="20" shapeId="0" xr:uid="{7DFF3D93-4B12-4D05-9266-451C44C8F74B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75 tuh võeti EISilt MKMile Tallinna Strateegiakeskusele konverentsi Green Destinations korraldamiseks
</t>
      </text>
    </comment>
    <comment ref="P104" authorId="21" shapeId="0" xr:uid="{F3DDDEDF-8C0D-4E44-AC99-AAF274D408C0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75 tuh anti EISile Tallinna Strateegiakeskuse konverentsi Green Destinations korraldamiseks tagasi</t>
      </text>
    </comment>
    <comment ref="K136" authorId="22" shapeId="0" xr:uid="{1FCA0228-CC84-47D8-80BE-D7324F5188E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48 tuh Viimsi kaldaramp + 70 tuh Ruhnule</t>
      </text>
    </comment>
    <comment ref="K138" authorId="23" shapeId="0" xr:uid="{8A1124C6-D4B4-4F5D-9D1F-E65D0CB8BAE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48 tuh Viimsi kaldaramp + 70 tuh Ruhnule Elroni arvelt</t>
      </text>
    </comment>
  </commentList>
</comments>
</file>

<file path=xl/sharedStrings.xml><?xml version="1.0" encoding="utf-8"?>
<sst xmlns="http://schemas.openxmlformats.org/spreadsheetml/2006/main" count="718" uniqueCount="313">
  <si>
    <t>Majandus- ja Kommunikatsiooniministeeriumi kindlaksmääratud vahendite kulude eelarvest antavad sihtotstabelised ja tegevustoetused</t>
  </si>
  <si>
    <t>Digiühiskonna programm</t>
  </si>
  <si>
    <t>Teadmussiirde programm</t>
  </si>
  <si>
    <t>Ehituse programm</t>
  </si>
  <si>
    <t>Ettevõtluskeskkonna programm</t>
  </si>
  <si>
    <t>Transpordi konkurentsivõime ja liikuvuse programm</t>
  </si>
  <si>
    <t>Kõigi programmide vahel jagunev</t>
  </si>
  <si>
    <t>Kulud toetustele kokku</t>
  </si>
  <si>
    <t>Toetuse saaja/eesmärk</t>
  </si>
  <si>
    <t>Programmi tegevus - kood</t>
  </si>
  <si>
    <t>Programmi tegevus - nimi</t>
  </si>
  <si>
    <t>Eelarve liik</t>
  </si>
  <si>
    <t>Eelarve objekt</t>
  </si>
  <si>
    <t>Objekti nimi</t>
  </si>
  <si>
    <t>Majanduslik sisu</t>
  </si>
  <si>
    <t>Kinnitatud eelarve 2023</t>
  </si>
  <si>
    <t>Lõplik eelarve 2023</t>
  </si>
  <si>
    <t>Stsenaarium asutuse kulumudelis</t>
  </si>
  <si>
    <t>EELARVE</t>
  </si>
  <si>
    <t/>
  </si>
  <si>
    <t>Periood asutuse kulumudelis</t>
  </si>
  <si>
    <t>Elektrihinna kompenseerimine</t>
  </si>
  <si>
    <t>N10-ELEKTRIHINNA-ABI</t>
  </si>
  <si>
    <t>ENEN0101</t>
  </si>
  <si>
    <t>Elektri- ja gaasivarustuse tagamine</t>
  </si>
  <si>
    <t>20</t>
  </si>
  <si>
    <t>Antud sihtfinantseerimine</t>
  </si>
  <si>
    <t>Gaasihinna kompenseerimine</t>
  </si>
  <si>
    <t>N10-GAASIHINNA-ABI</t>
  </si>
  <si>
    <t>Kaugküttehinna kompenseerimine</t>
  </si>
  <si>
    <t>N10-KAUGKYTTEHINNA-ABI</t>
  </si>
  <si>
    <t>ENEN0103</t>
  </si>
  <si>
    <t>Soojusenergia tõhus tootmine ja ülekanne</t>
  </si>
  <si>
    <t>AS Eesti Varude Keskus</t>
  </si>
  <si>
    <t>ATN10-VARUD</t>
  </si>
  <si>
    <t>ENEN0102</t>
  </si>
  <si>
    <t>Transpordikütuse korraldus ja kütusevarude säilitamine</t>
  </si>
  <si>
    <t>Antud tegevustoetused</t>
  </si>
  <si>
    <t>AS Eesti Varude Keskus kokku</t>
  </si>
  <si>
    <t>Riigi Infokommunikatsiooni SA</t>
  </si>
  <si>
    <t>ATN10-RIKS</t>
  </si>
  <si>
    <t>IYDA0102</t>
  </si>
  <si>
    <t>Digiriigi alusbaasi kindlustamine</t>
  </si>
  <si>
    <t>IN005000</t>
  </si>
  <si>
    <t>Muud investeeringud</t>
  </si>
  <si>
    <t>Antud investeeringutoetus</t>
  </si>
  <si>
    <t>Riigi Infokommunikatsiooni SA kokku</t>
  </si>
  <si>
    <t>AS Eesti Post</t>
  </si>
  <si>
    <t>ATN10-EEPOST</t>
  </si>
  <si>
    <t>IYDA0301</t>
  </si>
  <si>
    <t>Õigusruumi tagamine</t>
  </si>
  <si>
    <t>AS Eesti Post kokku</t>
  </si>
  <si>
    <t>N10-DROONIKESKUS</t>
  </si>
  <si>
    <t>TI020101</t>
  </si>
  <si>
    <t>Ettevõtete innovatsiooni-, digi- ja rohepöörde soodustamine</t>
  </si>
  <si>
    <t>TI020102</t>
  </si>
  <si>
    <t>Teadus- ja tehnoloogiamahuka iduettevõtluse arendamine</t>
  </si>
  <si>
    <t>Toetused teadus- ja arendustegevuseks kokku</t>
  </si>
  <si>
    <t>Ettevõtluse ja Innovatsiooni SA</t>
  </si>
  <si>
    <t>ENEN0201</t>
  </si>
  <si>
    <t>Energiatõhususe suurendamine</t>
  </si>
  <si>
    <t>IN070079</t>
  </si>
  <si>
    <t>Väikeelamute energiatõhususe suurendamin</t>
  </si>
  <si>
    <t>8N10-RE00-ENERGIATOH, 8N10-RE00-VAIKELENER</t>
  </si>
  <si>
    <t>8N10-RE00-KR-HALDUSK</t>
  </si>
  <si>
    <t>IN002000</t>
  </si>
  <si>
    <t>IT investeeringud</t>
  </si>
  <si>
    <t>8N10-RE00-HALDUS</t>
  </si>
  <si>
    <t>8N10-RE00-ENERGIATEA</t>
  </si>
  <si>
    <t>TIEH0102</t>
  </si>
  <si>
    <t>Ehitatud keskkonna ja ehitusvaldkonna kvaliteedi arendamine</t>
  </si>
  <si>
    <t>ATN-KredEx, 8N10-RE00-KODUTOETUS</t>
  </si>
  <si>
    <t>TIEH0201</t>
  </si>
  <si>
    <t>Eluasemepoliitika</t>
  </si>
  <si>
    <t>IN070077</t>
  </si>
  <si>
    <t>Kodutoetus lasterik perede eluasemet par</t>
  </si>
  <si>
    <t>8N10-RE00-KODUTOETUS, 8N10-RE00-LAMMUTUS</t>
  </si>
  <si>
    <t>ATN10-KredEx, 8N10-RE00-KR-HALDUSK</t>
  </si>
  <si>
    <t>IN070100</t>
  </si>
  <si>
    <t>Elukondlik kinnisvara maapiirkondades</t>
  </si>
  <si>
    <t>ATN10-EAS, 8N10-RE00-RRFKM-EAS</t>
  </si>
  <si>
    <t>TIEK0101</t>
  </si>
  <si>
    <t>Ettevõtluse arendamise soodustamine</t>
  </si>
  <si>
    <t>SE000060</t>
  </si>
  <si>
    <t>RRF - tehniline abi</t>
  </si>
  <si>
    <t>8N10-RE00-ERESIDENT, 8N10-RE00-WORKINEST</t>
  </si>
  <si>
    <t>TIEK0102</t>
  </si>
  <si>
    <t>Ettevõtete konkurentsivõime ja ekspordi edendamine</t>
  </si>
  <si>
    <t>8N10-RE00-05211</t>
  </si>
  <si>
    <t>TIEK0103</t>
  </si>
  <si>
    <t>Tehnoloogia- ja arendusmahukate investeeringute soodustamine</t>
  </si>
  <si>
    <t>IN005001</t>
  </si>
  <si>
    <t>Suurinvestori investeeringutoetus</t>
  </si>
  <si>
    <t>8N10-RE00-VALISINVES</t>
  </si>
  <si>
    <t>Ettevõtluse ja Innovatsiooni SA kokku</t>
  </si>
  <si>
    <t>AS Metrosert </t>
  </si>
  <si>
    <t>ATN10-METROS, N10-TEADUSARENDUS</t>
  </si>
  <si>
    <t>Antud tegevustoetused (teadus- ja arendustegevus)</t>
  </si>
  <si>
    <t>ATN10-METROS</t>
  </si>
  <si>
    <t>AS Metrosert kokku</t>
  </si>
  <si>
    <t xml:space="preserve">Soonlepa Arenduskeskuse MTÜ </t>
  </si>
  <si>
    <t>ATN10-SOONLE  </t>
  </si>
  <si>
    <t>SE000099</t>
  </si>
  <si>
    <t>Täiendav eraldis</t>
  </si>
  <si>
    <t>Noorte Ettevõtjate Assotsiatsioon MTÜ</t>
  </si>
  <si>
    <t>ATN10-NOORTE</t>
  </si>
  <si>
    <t>ATN10-TARBI</t>
  </si>
  <si>
    <t>Sihtasutus Ida-Viru Ettevõtluskeskus</t>
  </si>
  <si>
    <t>ATN10-VIIKIN </t>
  </si>
  <si>
    <t>Sihtasutus Kukruse Polaarmõis</t>
  </si>
  <si>
    <t>ATN10-VISIT  </t>
  </si>
  <si>
    <t>Täiendavad eraldised kokku</t>
  </si>
  <si>
    <t>MTÜ Maakondlikud Arenduskeskused</t>
  </si>
  <si>
    <t>ATN10-MAK</t>
  </si>
  <si>
    <t>MTÜ Maakondlikud Arenduskeskused kokku</t>
  </si>
  <si>
    <t>Eesti Standardimis- ja Akrediteerimiskeskus MTÜ</t>
  </si>
  <si>
    <t>ATN10-STANDA</t>
  </si>
  <si>
    <t>Eesti Standardimis- ja Akrediteerimiskeskus MTÜ kokku</t>
  </si>
  <si>
    <t>Tartu linn</t>
  </si>
  <si>
    <t>ATN10-TARTU</t>
  </si>
  <si>
    <t>Tartu linn kokku</t>
  </si>
  <si>
    <t>AS Eesti Raudtee</t>
  </si>
  <si>
    <t>ATN10-EVR</t>
  </si>
  <si>
    <t>TRTR0301</t>
  </si>
  <si>
    <t>Raudteetransporditaristu arendamine ja korrashoid</t>
  </si>
  <si>
    <t>IN070059</t>
  </si>
  <si>
    <t>Tln-Tartu rt uuendus kiiruseks 135 km/h</t>
  </si>
  <si>
    <t>IN070061</t>
  </si>
  <si>
    <t>Tapa-Narva rt uuendus kiiruseks 135 km/h</t>
  </si>
  <si>
    <t>AS Eesti Raudtee kokku</t>
  </si>
  <si>
    <t>AS Tallinna Lennujaam</t>
  </si>
  <si>
    <t>TRTR0303</t>
  </si>
  <si>
    <t>Õhutransporditaristu arendamine ja korrashoid</t>
  </si>
  <si>
    <t>Antud tegevustoetused - julgestus- ja päästeteenistus</t>
  </si>
  <si>
    <t xml:space="preserve">Antud tegevustoetused - regionaalsed lennujaamad </t>
  </si>
  <si>
    <t>AS Tallinna Lennujaam kokku</t>
  </si>
  <si>
    <t>ATN10-PARNU</t>
  </si>
  <si>
    <t>TRTR0304</t>
  </si>
  <si>
    <t>Maanteetransporditaristu arendamine ja korrashoid</t>
  </si>
  <si>
    <t>IN070102</t>
  </si>
  <si>
    <t>Pärnu linnale ühenduste tagamine - sild</t>
  </si>
  <si>
    <t>AS A.L.A.R.A.</t>
  </si>
  <si>
    <t>ATN10-ALARA, WBS: N10-TA-rakendusuurin</t>
  </si>
  <si>
    <t>Antud tegevustoetused (teadus- ja arendustegev)</t>
  </si>
  <si>
    <t>ATN10-ALARA</t>
  </si>
  <si>
    <t xml:space="preserve">Jaguneb kõigi programmi tegevuste vahel </t>
  </si>
  <si>
    <t>AS A.L.A.R.A.  kokku</t>
  </si>
  <si>
    <t>Maanteetransporditaristu arendamise kulud KOVidele</t>
  </si>
  <si>
    <t>ATN10-KOV</t>
  </si>
  <si>
    <t>IN070103</t>
  </si>
  <si>
    <t>Kadrina valla kergliiklustee</t>
  </si>
  <si>
    <t>Maanteetransporditaristu arendamiseks KOVidele kokku</t>
  </si>
  <si>
    <t>Eesti Liinirongid AS</t>
  </si>
  <si>
    <t>TRTR0401</t>
  </si>
  <si>
    <t>Liikuvusteenuse arendamine ja soodustamine</t>
  </si>
  <si>
    <t xml:space="preserve">Antud investeeringutoetus - diiselveeremi liisingmaksed </t>
  </si>
  <si>
    <t xml:space="preserve">Antud tegevustoetused - reisijatevedu raudteel </t>
  </si>
  <si>
    <t>Eesti Liinirongid AS kokku</t>
  </si>
  <si>
    <t>ATN10-VEEOHU</t>
  </si>
  <si>
    <t>KOVidele laevaühendusteks</t>
  </si>
  <si>
    <t>KOVidele laevaühendusteks kokku</t>
  </si>
  <si>
    <t>Antud tegevustoetused - KOVidele laevaühendusteks</t>
  </si>
  <si>
    <t>2023_01</t>
  </si>
  <si>
    <t>EELARVE_ULE</t>
  </si>
  <si>
    <t>ATN10-IDAVIR</t>
  </si>
  <si>
    <t>ATN10-KUKRUS</t>
  </si>
  <si>
    <t>IN000099</t>
  </si>
  <si>
    <t>Täiendavad investeeringutoetused</t>
  </si>
  <si>
    <t>IN070068</t>
  </si>
  <si>
    <t>KOV elamufondi investeeringute toetamine</t>
  </si>
  <si>
    <t>8N10-RE00-VAIKELENER, EELARVE ÜLE LÄHEB TIEHi</t>
  </si>
  <si>
    <t>8N10-RE00-KORTERREK</t>
  </si>
  <si>
    <t>IN070084</t>
  </si>
  <si>
    <t>Korterelamute rekonstrueerimine</t>
  </si>
  <si>
    <t>IN070097</t>
  </si>
  <si>
    <t>Haapsalu raudtee II etapp</t>
  </si>
  <si>
    <t>ATN10-KIK-LEA</t>
  </si>
  <si>
    <t>IN070984</t>
  </si>
  <si>
    <t>LEA2022 Energiaühendused</t>
  </si>
  <si>
    <t>SE000080</t>
  </si>
  <si>
    <t>2022 LEA</t>
  </si>
  <si>
    <t>IYDA0201</t>
  </si>
  <si>
    <t>Riikliku küberturvalisuse korraldamine</t>
  </si>
  <si>
    <t>SE070001</t>
  </si>
  <si>
    <t>Kohalike teede hoid</t>
  </si>
  <si>
    <t>Tallinna Tehnikaülikool</t>
  </si>
  <si>
    <t>Tallinna Tehnikaülikool kokku</t>
  </si>
  <si>
    <t>SR070135</t>
  </si>
  <si>
    <t>IT vajaku kompenseerimine (2)</t>
  </si>
  <si>
    <t xml:space="preserve">Sihtasutus Eesti Rahvusvahelise Arengukoostöö Keskus </t>
  </si>
  <si>
    <t>N10-RAHVUSVAHARENG</t>
  </si>
  <si>
    <t>Sihtasutus Eesti Rahvusvahelise Arengukoostöö Keskus kokku</t>
  </si>
  <si>
    <t>SR070141</t>
  </si>
  <si>
    <t>Võhma-Kahala kergliiklustee rajamine</t>
  </si>
  <si>
    <t>2022. a-st erak ülek vahendid MKMi 23.01.2023 KK nr 4</t>
  </si>
  <si>
    <t>Sisemised muudatused</t>
  </si>
  <si>
    <t>MINISTRI_LIIGENDUS</t>
  </si>
  <si>
    <t>Energiahindade kompenseerimine kokku</t>
  </si>
  <si>
    <t>Elektrilevi OÜ</t>
  </si>
  <si>
    <t>Elektrilevi OÜ kokku</t>
  </si>
  <si>
    <t>Antud sihtfinantseerimine - energia IEA</t>
  </si>
  <si>
    <t>Antud tegevustoetused - halduskulu</t>
  </si>
  <si>
    <t>Antud sihtfin - EIS riiklikud programmid</t>
  </si>
  <si>
    <t>Antud sihtfin - riiklikud programmid - energiateadlikkus</t>
  </si>
  <si>
    <t>Antud sihtfin - riiklikud programmid - lammutus- ja lasterikaste perede kodutoetus</t>
  </si>
  <si>
    <t>Antud sihtfin - abikõlbmatu RRFi KM</t>
  </si>
  <si>
    <t>Antud sihtfin - riiklikud programmid</t>
  </si>
  <si>
    <t>Antud sihtfin - riiklikud programmid (sh turismi tegevused)</t>
  </si>
  <si>
    <t>MTÜ Visit Virumaa</t>
  </si>
  <si>
    <t>Mittetulundusühing Viikingite küla</t>
  </si>
  <si>
    <t>Eesti Tarbijakaitse Liit</t>
  </si>
  <si>
    <t>Antud tegevustoetused (2024. a kultuuripealinn)</t>
  </si>
  <si>
    <t>Pärnu linn</t>
  </si>
  <si>
    <t>Kadrina vald</t>
  </si>
  <si>
    <t>Põhja-Sakala vald</t>
  </si>
  <si>
    <t>Antud investeeringutoetus - juhtumipõhine</t>
  </si>
  <si>
    <t>WBS: N10-TA-reaalajaandm</t>
  </si>
  <si>
    <t>Eesti Rahvusringhääling</t>
  </si>
  <si>
    <t>Eesti Rahvusringhääling kokku</t>
  </si>
  <si>
    <t>Antud tegevustoetused - Droonikeskus</t>
  </si>
  <si>
    <t>Antud tegevustoetused - rakendusuuringute keskus</t>
  </si>
  <si>
    <t>Antud tegevustoetused (teadus- ja arendustegevus, RTE)</t>
  </si>
  <si>
    <t>Euroopa Kosmose Agentuur</t>
  </si>
  <si>
    <t>Euroopa Kosmose Agentuur kokku</t>
  </si>
  <si>
    <t>Antud sihtfin - ESA valikprogrammides osalemine</t>
  </si>
  <si>
    <t>N10-TA-ESA-CERN</t>
  </si>
  <si>
    <t>SA Tallinna Teaduspark Tehnopol</t>
  </si>
  <si>
    <t>SA Tallinna Teaduspark Tehnopol kokku</t>
  </si>
  <si>
    <t>N10-TA-TEHISINTELLEK</t>
  </si>
  <si>
    <t>N10-TA-A-ESTONIA</t>
  </si>
  <si>
    <t>N10-TA-TEADUSMAH.IDU</t>
  </si>
  <si>
    <t>Tartu Ülikool</t>
  </si>
  <si>
    <t>Tartu Ülikool kokku</t>
  </si>
  <si>
    <t>Antud sihtfinantseerimine - erasektori tehisintellekti pilootprojektid</t>
  </si>
  <si>
    <t>Antud sihtfinantseerimine - Accelerate Estonia programm</t>
  </si>
  <si>
    <t>Antud sihtfinantseerimine - teadus- ja tehnoloogiamahukate idude kiirendid ja teised tegevused</t>
  </si>
  <si>
    <t>Antud sihtfinantseerimine - e-DIH rahastamine AI ja robootikaga seotud uurimis- ja arendustegevuseks</t>
  </si>
  <si>
    <t>N10-TA-E-DIH</t>
  </si>
  <si>
    <t>N10-TEADUSARENDUS, N10-TEADUSARENDUS_2</t>
  </si>
  <si>
    <t>N10-TEADUSARENDUS, (N10-UA_MILITAAR on siit välja võetud)</t>
  </si>
  <si>
    <r>
      <t xml:space="preserve">N10-KV MAAPIIRKONDADES, </t>
    </r>
    <r>
      <rPr>
        <sz val="9"/>
        <color rgb="FFFF0000"/>
        <rFont val="Times New Roman"/>
        <family val="1"/>
        <charset val="186"/>
      </rPr>
      <t xml:space="preserve">8N10-RE00-YYRIELAMUD </t>
    </r>
  </si>
  <si>
    <t>Antud sihtfinantseerimine (toetuse saajad selguvad eelarveaasta jooksul)</t>
  </si>
  <si>
    <t>N10-TA-FOOKUS</t>
  </si>
  <si>
    <t>Eesti Tööandjate Keskliit</t>
  </si>
  <si>
    <t>Eesti Tööandjate Keskliit kokku</t>
  </si>
  <si>
    <t>Tallinna Strateegiakeskus</t>
  </si>
  <si>
    <t>Tallinna Strateegiakeskus kokku</t>
  </si>
  <si>
    <t>Antud sihtfin - konverentsi Green Destinations korraldamine</t>
  </si>
  <si>
    <t>2023_03</t>
  </si>
  <si>
    <t>RESERV</t>
  </si>
  <si>
    <t>VR070077</t>
  </si>
  <si>
    <t>Kommertsliiniveo teostajatele eelkooliealiste laste ja puuetega inimeste tasuta vedamise kohustuse hüvitamine</t>
  </si>
  <si>
    <t>Kommertsliinivedajatele hüvitisteks kokku</t>
  </si>
  <si>
    <t>Antud tegevustoetused - kommertsliinivedajatele eelkooliealiste laste ja puuetega inimeste tasuta vedamise kohustuse hüvitamiseks</t>
  </si>
  <si>
    <t>VR070063</t>
  </si>
  <si>
    <t>Kommertsliinidel tasuta vedamise kohust</t>
  </si>
  <si>
    <t>Energiahindade komp kodutarbijatele 2023</t>
  </si>
  <si>
    <t>Antud investeeringutoetus - Droonikeskus</t>
  </si>
  <si>
    <t>Antud investeeringutoetus - rakendusuuringute keskus</t>
  </si>
  <si>
    <t>N10-TA-RAKENDUSUURIN</t>
  </si>
  <si>
    <t>MINISTRI_        LIIGENDUS</t>
  </si>
  <si>
    <t>Energeetika ja maavarade programm</t>
  </si>
  <si>
    <t>2023 RE seaduse muudatus (I pa)</t>
  </si>
  <si>
    <t>SEADUSE_ MUUDATUS</t>
  </si>
  <si>
    <t>2023_08;       2023_09</t>
  </si>
  <si>
    <t>ATN10-ELRON konto 4502</t>
  </si>
  <si>
    <t>ATN10-ELRON konto 4521</t>
  </si>
  <si>
    <t>ATN10-TALLEN konto 4500</t>
  </si>
  <si>
    <t>ATN10-TALLEN konto 4521</t>
  </si>
  <si>
    <t>SE000017</t>
  </si>
  <si>
    <t>Hasartmängumaksust töö-tervis-sotsiaal</t>
  </si>
  <si>
    <t>HE090101</t>
  </si>
  <si>
    <t>Soolise võrdõiguslikkuse valdkonna arendamine</t>
  </si>
  <si>
    <t>HE090102</t>
  </si>
  <si>
    <t>Võrdse kohtlemise valdkonna arendamine</t>
  </si>
  <si>
    <t>Hasartmängumaksud kokku</t>
  </si>
  <si>
    <t>8N10-RE00-03111, wbs:1N10-HMN-SOO</t>
  </si>
  <si>
    <t>8N10-RE00-03111, wbs: 1N10-HMN-VPO</t>
  </si>
  <si>
    <t>Sooline võrdsus ja võrdne kohtlemine</t>
  </si>
  <si>
    <t>Lisa 8</t>
  </si>
  <si>
    <t>RaM 03.04.2023 kk nr 77</t>
  </si>
  <si>
    <t>2022. a-st ülek vahendid MKMi 22.06.2023 KK nr 119</t>
  </si>
  <si>
    <t>2023_04</t>
  </si>
  <si>
    <t>2023_05</t>
  </si>
  <si>
    <t>VV 02.03.2023 korraldus nr 77</t>
  </si>
  <si>
    <t>SR070077</t>
  </si>
  <si>
    <t>IT vajaku kompenseerimine 4</t>
  </si>
  <si>
    <t>8N10-RE00-05231, 8N10-RE00-ARENDUSVOI, 8N10-RE00-ROHERUP, N10-ESG MEISTRIKLASS - 8N10-RE00-ESG, N10-TA-FOOKUS, RTAI-SF-RIA, 8NS1-RTAI-RAKENDUS</t>
  </si>
  <si>
    <t>8N10-RE00-TURISM, 8N10-RE00-TURISMSF, 8N10-RE00-UUSTURG, IKTTOOSTDI</t>
  </si>
  <si>
    <t>8N10-RE00-RRFKAIBEM</t>
  </si>
  <si>
    <t>Antud investeeringutoetus - EIS riiklikud programmid</t>
  </si>
  <si>
    <t>8N10-RE00-05431</t>
  </si>
  <si>
    <t>IN002080</t>
  </si>
  <si>
    <t>2022 LEA IT investeeringud</t>
  </si>
  <si>
    <t>SR07A064</t>
  </si>
  <si>
    <t>IT vajaku kompenseerimine</t>
  </si>
  <si>
    <t>Sihtasutus CR14</t>
  </si>
  <si>
    <t>ATN10-CR14</t>
  </si>
  <si>
    <t>Sihtasutus CR14 kokku</t>
  </si>
  <si>
    <t>VR070052</t>
  </si>
  <si>
    <t>Elektri, gaasi ja võrgut. komp.</t>
  </si>
  <si>
    <t>Elektri, gaasi ja võrgutasude kompenseerimine</t>
  </si>
  <si>
    <t>VR07A093</t>
  </si>
  <si>
    <t>Kaugkütte komp. kodutarbijale</t>
  </si>
  <si>
    <t>Antud sihtfin - Kredex Start-Up Estonia küberprogramm</t>
  </si>
  <si>
    <t>IYDA0202</t>
  </si>
  <si>
    <t>Analüüsivõime arendamine</t>
  </si>
  <si>
    <t>Antud sihtfin - kübernaaskel (KaM kaasrahastus)</t>
  </si>
  <si>
    <t>2023_08</t>
  </si>
  <si>
    <t>ettevõtlus- ja infotehnoloogiaministri ning majandus- ja taristuministri käskkirja "Majandus- ja Kommunikatsiooniministeeriumi ja tema valitsemisala asutuste 2023. a eelarvete kinnitamine"  juurde (muudetud sõnastuses)</t>
  </si>
  <si>
    <t>Keskkonnainvesteeringute Keskus SA</t>
  </si>
  <si>
    <t>Keskkonnainvesteeringute Keskus SA kokku</t>
  </si>
  <si>
    <t xml:space="preserve">Antud tegevustoetused (COP28 osalemine)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</si>
</sst>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rgb="FF202124"/>
      <name val="Times New Roman"/>
      <family val="1"/>
      <charset val="186"/>
    </font>
    <font>
      <b/>
      <sz val="10"/>
      <color rgb="FF202124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rgb="FF202124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color indexed="8"/>
      <name val="Timess"/>
      <charset val="186"/>
    </font>
    <font>
      <b/>
      <sz val="9.5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  <scheme val="minor"/>
    </font>
    <font>
      <sz val="10"/>
      <color rgb="FF202124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31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0" xfId="1" applyNumberFormat="1" applyFont="1" applyAlignment="1">
      <alignment horizontal="right" wrapText="1"/>
    </xf>
    <xf numFmtId="3" fontId="6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wrapText="1"/>
    </xf>
    <xf numFmtId="3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wrapText="1"/>
    </xf>
    <xf numFmtId="0" fontId="4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2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0" fontId="13" fillId="0" borderId="1" xfId="0" applyFont="1" applyBorder="1"/>
    <xf numFmtId="0" fontId="3" fillId="0" borderId="0" xfId="0" applyFont="1"/>
    <xf numFmtId="0" fontId="11" fillId="2" borderId="1" xfId="0" applyFont="1" applyFill="1" applyBorder="1"/>
    <xf numFmtId="3" fontId="3" fillId="2" borderId="1" xfId="0" applyNumberFormat="1" applyFont="1" applyFill="1" applyBorder="1"/>
    <xf numFmtId="0" fontId="14" fillId="0" borderId="1" xfId="0" applyFont="1" applyBorder="1" applyAlignment="1">
      <alignment horizontal="left" wrapText="1"/>
    </xf>
    <xf numFmtId="0" fontId="16" fillId="0" borderId="1" xfId="0" applyFont="1" applyBorder="1"/>
    <xf numFmtId="0" fontId="4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18" fillId="2" borderId="1" xfId="0" applyFont="1" applyFill="1" applyBorder="1"/>
    <xf numFmtId="0" fontId="18" fillId="2" borderId="4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2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3" borderId="1" xfId="2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 wrapText="1"/>
    </xf>
    <xf numFmtId="0" fontId="4" fillId="3" borderId="0" xfId="0" applyFont="1" applyFill="1"/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3" fillId="3" borderId="1" xfId="0" applyFont="1" applyFill="1" applyBorder="1"/>
    <xf numFmtId="0" fontId="22" fillId="0" borderId="0" xfId="0" applyFont="1" applyAlignment="1">
      <alignment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wrapText="1"/>
    </xf>
    <xf numFmtId="0" fontId="22" fillId="4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2" fillId="4" borderId="1" xfId="0" applyFont="1" applyFill="1" applyBorder="1" applyAlignment="1">
      <alignment vertical="center" wrapText="1"/>
    </xf>
    <xf numFmtId="0" fontId="12" fillId="2" borderId="2" xfId="0" applyFont="1" applyFill="1" applyBorder="1"/>
    <xf numFmtId="0" fontId="2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6" fillId="2" borderId="1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vertical="center" wrapText="1"/>
    </xf>
    <xf numFmtId="0" fontId="26" fillId="2" borderId="2" xfId="0" applyFont="1" applyFill="1" applyBorder="1"/>
    <xf numFmtId="0" fontId="22" fillId="0" borderId="1" xfId="0" applyFont="1" applyBorder="1" applyAlignment="1">
      <alignment wrapText="1"/>
    </xf>
    <xf numFmtId="0" fontId="22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49" fontId="22" fillId="4" borderId="0" xfId="0" applyNumberFormat="1" applyFont="1" applyFill="1" applyAlignment="1">
      <alignment vertical="center" wrapText="1"/>
    </xf>
    <xf numFmtId="0" fontId="3" fillId="2" borderId="0" xfId="0" applyFont="1" applyFill="1"/>
    <xf numFmtId="0" fontId="19" fillId="0" borderId="1" xfId="0" applyFont="1" applyBorder="1" applyAlignment="1">
      <alignment horizontal="left" vertical="center"/>
    </xf>
    <xf numFmtId="0" fontId="27" fillId="4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vertical="center" wrapText="1"/>
    </xf>
    <xf numFmtId="4" fontId="28" fillId="0" borderId="1" xfId="2" applyNumberFormat="1" applyFont="1" applyBorder="1" applyAlignment="1">
      <alignment horizontal="center" vertical="center" wrapText="1"/>
    </xf>
    <xf numFmtId="3" fontId="3" fillId="0" borderId="1" xfId="0" applyNumberFormat="1" applyFont="1" applyBorder="1"/>
    <xf numFmtId="0" fontId="12" fillId="0" borderId="1" xfId="0" applyFont="1" applyBorder="1"/>
    <xf numFmtId="0" fontId="16" fillId="0" borderId="1" xfId="0" applyFont="1" applyBorder="1" applyAlignment="1">
      <alignment wrapText="1"/>
    </xf>
    <xf numFmtId="3" fontId="17" fillId="0" borderId="1" xfId="0" applyNumberFormat="1" applyFont="1" applyBorder="1"/>
    <xf numFmtId="0" fontId="3" fillId="0" borderId="1" xfId="0" applyFont="1" applyBorder="1"/>
    <xf numFmtId="3" fontId="2" fillId="0" borderId="0" xfId="0" applyNumberFormat="1" applyFont="1"/>
    <xf numFmtId="3" fontId="4" fillId="2" borderId="1" xfId="0" applyNumberFormat="1" applyFont="1" applyFill="1" applyBorder="1"/>
    <xf numFmtId="3" fontId="16" fillId="0" borderId="1" xfId="0" applyNumberFormat="1" applyFont="1" applyBorder="1"/>
    <xf numFmtId="3" fontId="3" fillId="2" borderId="5" xfId="0" applyNumberFormat="1" applyFont="1" applyFill="1" applyBorder="1"/>
    <xf numFmtId="3" fontId="0" fillId="0" borderId="1" xfId="0" applyNumberFormat="1" applyBorder="1"/>
    <xf numFmtId="0" fontId="29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0" fontId="2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right" wrapText="1"/>
    </xf>
    <xf numFmtId="3" fontId="30" fillId="3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16" fillId="4" borderId="1" xfId="3" applyFont="1" applyFill="1" applyBorder="1" applyAlignment="1">
      <alignment horizontal="left" vertical="top"/>
    </xf>
    <xf numFmtId="49" fontId="16" fillId="5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32" fillId="0" borderId="1" xfId="0" applyFont="1" applyBorder="1"/>
    <xf numFmtId="0" fontId="21" fillId="0" borderId="0" xfId="0" applyFont="1" applyAlignment="1">
      <alignment vertical="center"/>
    </xf>
    <xf numFmtId="0" fontId="12" fillId="0" borderId="1" xfId="0" applyFont="1" applyBorder="1" applyAlignment="1">
      <alignment wrapText="1"/>
    </xf>
    <xf numFmtId="0" fontId="3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left" wrapText="1"/>
    </xf>
    <xf numFmtId="3" fontId="6" fillId="0" borderId="0" xfId="1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</cellXfs>
  <cellStyles count="4">
    <cellStyle name="Normaallaad" xfId="0" builtinId="0"/>
    <cellStyle name="Normaallaad 10" xfId="3" xr:uid="{41EF7B8F-9672-4D63-864B-1A7F0CF8F452}"/>
    <cellStyle name="Normaallaad 2" xfId="1" xr:uid="{68529AA7-28B5-44F1-A5C6-F2AD667E0CEB}"/>
    <cellStyle name="Normaallaad 4" xfId="2" xr:uid="{5104368E-7262-4C13-9D11-921B34151101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81FC65BF-35B5-4636-8651-2EAA8723E0BF}" userId="S-1-5-21-2009196460-3307222142-1538888278-3731" providerId="AD"/>
  <person displayName="Helena Siemann" id="{F3BE7C54-A304-4D24-8A8E-2EECB78392B9}" userId="S::helena.siemann@mkm.ee::a2a5646e-d671-4de3-8c70-452613050e74" providerId="AD"/>
  <person displayName="Krista Fazijev" id="{8EA2B3BE-C3C1-457E-86B0-0691EE3AF091}" userId="S::krista.fazijev@mkm.ee::87d024f3-374d-4c61-833f-1dd39a9c49f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4" dT="2023-01-24T06:59:31.94" personId="{F3BE7C54-A304-4D24-8A8E-2EECB78392B9}" id="{8CB6B49E-B3BF-4163-89D6-C428EFD495EC}">
    <text>Suunati RIKSi tegev toetusesse</text>
  </threadedComment>
  <threadedComment ref="K35" dT="2023-01-24T06:59:17.31" personId="{F3BE7C54-A304-4D24-8A8E-2EECB78392B9}" id="{7752C26D-A5D3-4720-8535-772C39D0802F}">
    <text>RIKSi inv toetuste arvelt</text>
  </threadedComment>
  <threadedComment ref="H49" dT="2023-01-24T13:09:39.84" personId="{F3BE7C54-A304-4D24-8A8E-2EECB78392B9}" id="{2F86FC18-0532-4E7E-83F4-ABD1B1EA5979}">
    <text>Sh ESA ja CERNi liikmemaksud 1,9 M, mis ületavad RO maksude eelarvet</text>
  </threadedComment>
  <threadedComment ref="P55" dT="2023-07-28T13:51:25.23" personId="{81FC65BF-35B5-4636-8651-2EAA8723E0BF}" id="{9D152E3C-4AFE-4779-8B38-C69C96B185BB}">
    <text>Lep alusel kanti TY-le üle 270 tuh €</text>
  </threadedComment>
  <threadedComment ref="K62" dT="2023-01-24T12:46:34.74" personId="{F3BE7C54-A304-4D24-8A8E-2EECB78392B9}" id="{D7F75D93-67E4-4CEE-A797-8AD0BA1764D6}">
    <text>Metroserdile</text>
  </threadedComment>
  <threadedComment ref="K63" dT="2023-01-24T12:20:50.82" personId="{F3BE7C54-A304-4D24-8A8E-2EECB78392B9}" id="{B8042C57-692D-40B2-88CC-09320E55163A}">
    <text>+367 tuh LifeSaver EISile + 20,1 M EISile jt laiali jagatud - 1 M inv toetustest juurde lisatud - 240 tuh Tööandjate Keskliidule</text>
  </threadedComment>
  <threadedComment ref="P63" dT="2023-07-28T06:22:27.48" personId="{81FC65BF-35B5-4636-8651-2EAA8723E0BF}" id="{5B57ED93-736F-4925-B20D-F00FF09BAF05}">
    <text>3,3 M suunatud EISile IPCEI RUPile juurde + 240 tuh ETKLi vahendid EISile, mis algselt võeti EISi eelarvest maha, 55 tuh TY lep alusel vastav ülekandele</text>
  </threadedComment>
  <threadedComment ref="K64" dT="2023-01-24T14:48:58.56" personId="{F3BE7C54-A304-4D24-8A8E-2EECB78392B9}" id="{006029BA-D35F-4347-9D31-5B9D2840CCD4}">
    <text xml:space="preserve">1 M inv toetust suunasin TA tegev toetustesse, sest kasutatakse tegev toetusena </text>
  </threadedComment>
  <threadedComment ref="I65" dT="2023-01-24T12:38:39.45" personId="{F3BE7C54-A304-4D24-8A8E-2EECB78392B9}" id="{6C63ABCA-2462-419C-A458-F70266E65362}">
    <text>UA_militaar kulud ei ole toetus, vaid MKMi teg kulud, seetõttu võtsin siit 100 tuh maha</text>
  </threadedComment>
  <threadedComment ref="P69" dT="2023-03-14T11:41:35.47" personId="{F3BE7C54-A304-4D24-8A8E-2EECB78392B9}" id="{D776FA2A-2332-4550-B465-F3EEB8763E6E}">
    <text>Energiatõhusus IEA vahendid 25 tuh, mida EIS enam ei kasuta, jäävad MKMile</text>
  </threadedComment>
  <threadedComment ref="I73" dT="2023-02-27T07:55:04.60" personId="{F3BE7C54-A304-4D24-8A8E-2EECB78392B9}" id="{04ABDF53-4F2A-4A95-B861-77C2B60007D8}">
    <text>EISi lepingust võeti välja grant 8N10-RE00-05231 toote- ja tehnol. arendusprogramm 883 867 € ja jäeti MKMile. Selle võrra on EISi lepingu summa siin lisas olevast summast väiksem!</text>
  </threadedComment>
  <threadedComment ref="K73" dT="2023-01-24T08:39:12.35" personId="{F3BE7C54-A304-4D24-8A8E-2EECB78392B9}" id="{F4D35221-AA24-493D-95B1-8C342290F399}">
    <text>-138 tuh grandilt "uusturg"-367 tuh LifeSaver EISile - 7 001,5 tuh EISile TA "üldpotist"</text>
  </threadedComment>
  <threadedComment ref="P73" dT="2023-03-10T10:57:52.72" personId="{F3BE7C54-A304-4D24-8A8E-2EECB78392B9}" id="{4A319604-AA43-4642-8B2F-558F63413987}">
    <text xml:space="preserve">EISi lepingust võeti välja grant 8N10-RE00-05231 toote- ja tehnol. arendusprogramm 883 867 € ja jäeti MKMile. </text>
  </threadedComment>
  <threadedComment ref="P73" dT="2023-07-28T06:20:50.60" personId="{81FC65BF-35B5-4636-8651-2EAA8723E0BF}" id="{94E2C135-584D-4D03-816A-ED1B8EA73EC8}" parentId="{4A319604-AA43-4642-8B2F-558F63413987}">
    <text>3,3 mln anti MKMi TA 1% üldpotist IPCEI RUPile juurde + 240 tuh ETKLile, mis algselt võeti EISilt ära</text>
  </threadedComment>
  <threadedComment ref="B81" dT="2023-01-13T13:46:23.16" personId="{8EA2B3BE-C3C1-457E-86B0-0691EE3AF091}" id="{4B1A5439-9188-40C6-8CDC-3D4FBF6C0D55}">
    <text xml:space="preserve">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ext>
  </threadedComment>
  <threadedComment ref="B82" dT="2023-01-13T13:46:23.16" personId="{8EA2B3BE-C3C1-457E-86B0-0691EE3AF091}" id="{AC121974-78A6-4C84-8E55-0CE0A193D435}">
    <text xml:space="preserve">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ext>
  </threadedComment>
  <threadedComment ref="K88" dT="2023-01-24T07:13:26.11" personId="{F3BE7C54-A304-4D24-8A8E-2EECB78392B9}" id="{BF775157-8E5A-4D1C-A183-396DB008EDED}">
    <text>138 tuh suunati grandi "arendusvoi" alla, 75 tuh võeti MKMile Tallinna Strateegiakeskusele konverentsi Green Destinations korraldamiseks</text>
  </threadedComment>
  <threadedComment ref="P88" dT="2023-03-17T08:02:14.58" personId="{F3BE7C54-A304-4D24-8A8E-2EECB78392B9}" id="{FC94BB04-D384-4D0B-8BAE-1986074F1A4C}">
    <text xml:space="preserve">75 tuh anti EISile Tallinna Strateegiakeskuse konverentsi Green Destinations korraldamiseks tagasi
</text>
  </threadedComment>
  <threadedComment ref="P88" dT="2023-07-28T06:03:30.96" personId="{81FC65BF-35B5-4636-8651-2EAA8723E0BF}" id="{82D260A3-0D72-4713-8EF7-29D3FCEF7BC3}" parentId="{FC94BB04-D384-4D0B-8BAE-1986074F1A4C}">
    <text>EISilt võeti 25 tuh MKMile väikesadamate hankeks</text>
  </threadedComment>
  <threadedComment ref="R93" dT="2023-07-28T13:06:42.08" personId="{81FC65BF-35B5-4636-8651-2EAA8723E0BF}" id="{EB02F770-0D22-46EA-A899-04728148BE22}">
    <text>Sisaldab 95 076 € startupkyber vahendeid</text>
  </threadedComment>
  <threadedComment ref="K94" dT="2023-01-24T12:49:43.06" personId="{F3BE7C54-A304-4D24-8A8E-2EECB78392B9}" id="{8042C6B8-D391-4F94-9266-302C87F0EBC7}">
    <text>TEPist 40 tuh RTE ja 20 tuh MAO</text>
  </threadedComment>
  <threadedComment ref="K95" dT="2023-01-24T12:50:05.15" personId="{F3BE7C54-A304-4D24-8A8E-2EECB78392B9}" id="{CD161EC8-8C29-488A-A12E-FA4A28F64F3A}">
    <text>20 tuhi turismist Külli K</text>
  </threadedComment>
  <threadedComment ref="K104" dT="2023-01-27T10:37:48.43" personId="{F3BE7C54-A304-4D24-8A8E-2EECB78392B9}" id="{7DFF3D93-4B12-4D05-9266-451C44C8F74B}">
    <text xml:space="preserve">75 tuh võeti EISilt MKMile Tallinna Strateegiakeskusele konverentsi Green Destinations korraldamiseks
</text>
  </threadedComment>
  <threadedComment ref="P104" dT="2023-03-17T10:44:44.43" personId="{F3BE7C54-A304-4D24-8A8E-2EECB78392B9}" id="{F3DDDEDF-8C0D-4E44-AC99-AAF274D408C0}">
    <text>75 tuh anti EISile Tallinna Strateegiakeskuse konverentsi Green Destinations korraldamiseks tagasi</text>
  </threadedComment>
  <threadedComment ref="K136" dT="2023-01-24T07:08:32.92" personId="{F3BE7C54-A304-4D24-8A8E-2EECB78392B9}" id="{1FCA0228-CC84-47D8-80BE-D7324F5188EC}">
    <text>48 tuh Viimsi kaldaramp + 70 tuh Ruhnule</text>
  </threadedComment>
  <threadedComment ref="K138" dT="2023-01-24T07:08:41.98" personId="{F3BE7C54-A304-4D24-8A8E-2EECB78392B9}" id="{8A1124C6-D4B4-4F5D-9D1F-E65D0CB8BAED}">
    <text>48 tuh Viimsi kaldaramp + 70 tuh Ruhnule Elroni arvelt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C644-7FEA-4119-BB74-5BC0BECC31FA}">
  <sheetPr>
    <pageSetUpPr fitToPage="1"/>
  </sheetPr>
  <dimension ref="A1:R147"/>
  <sheetViews>
    <sheetView tabSelected="1" topLeftCell="D1" zoomScale="90" zoomScaleNormal="90" workbookViewId="0">
      <selection activeCell="O85" sqref="O85"/>
    </sheetView>
  </sheetViews>
  <sheetFormatPr defaultRowHeight="14.4" outlineLevelCol="1"/>
  <cols>
    <col min="1" max="1" width="25.88671875" customWidth="1"/>
    <col min="2" max="2" width="26.44140625" style="71" hidden="1" customWidth="1" outlineLevel="1"/>
    <col min="3" max="3" width="10.44140625" customWidth="1" collapsed="1"/>
    <col min="4" max="4" width="24.33203125" style="7" customWidth="1"/>
    <col min="5" max="5" width="9.6640625" bestFit="1" customWidth="1"/>
    <col min="6" max="6" width="10.33203125" customWidth="1"/>
    <col min="7" max="7" width="36.109375" customWidth="1"/>
    <col min="8" max="8" width="32.88671875" customWidth="1"/>
    <col min="9" max="9" width="13.6640625" hidden="1" customWidth="1" outlineLevel="1"/>
    <col min="10" max="10" width="16.33203125" hidden="1" customWidth="1" outlineLevel="1"/>
    <col min="11" max="11" width="13.6640625" hidden="1" customWidth="1" outlineLevel="1"/>
    <col min="12" max="12" width="13.5546875" style="38" customWidth="1" collapsed="1"/>
    <col min="13" max="14" width="12.6640625" customWidth="1"/>
    <col min="15" max="15" width="13.5546875" customWidth="1"/>
    <col min="16" max="17" width="12.109375" customWidth="1"/>
    <col min="18" max="18" width="13.6640625" customWidth="1"/>
  </cols>
  <sheetData>
    <row r="1" spans="1:18" s="1" customFormat="1" ht="13.2">
      <c r="B1" s="71"/>
      <c r="D1" s="2"/>
      <c r="R1" s="3" t="s">
        <v>279</v>
      </c>
    </row>
    <row r="2" spans="1:18" s="1" customFormat="1" ht="13.2" customHeight="1">
      <c r="B2" s="71"/>
      <c r="D2" s="2"/>
      <c r="I2" s="113"/>
      <c r="J2" s="113"/>
      <c r="K2" s="113"/>
      <c r="L2" s="124" t="s">
        <v>309</v>
      </c>
      <c r="M2" s="125"/>
      <c r="N2" s="125"/>
      <c r="O2" s="125"/>
      <c r="P2" s="125"/>
      <c r="Q2" s="125"/>
      <c r="R2" s="125"/>
    </row>
    <row r="3" spans="1:18" s="1" customFormat="1" ht="13.2" customHeight="1">
      <c r="B3" s="71"/>
      <c r="D3" s="2"/>
      <c r="G3" s="2"/>
      <c r="H3" s="113"/>
      <c r="I3" s="113"/>
      <c r="J3" s="113"/>
      <c r="K3" s="113"/>
      <c r="L3" s="125"/>
      <c r="M3" s="125"/>
      <c r="N3" s="125"/>
      <c r="O3" s="125"/>
      <c r="P3" s="125"/>
      <c r="Q3" s="125"/>
      <c r="R3" s="125"/>
    </row>
    <row r="4" spans="1:18" s="1" customFormat="1" ht="13.2">
      <c r="B4" s="71"/>
      <c r="D4" s="2"/>
      <c r="L4" s="4"/>
    </row>
    <row r="5" spans="1:18" s="1" customFormat="1" ht="13.2">
      <c r="A5" s="126" t="s">
        <v>0</v>
      </c>
      <c r="B5" s="126"/>
      <c r="C5" s="126"/>
      <c r="D5" s="126"/>
      <c r="L5" s="4"/>
    </row>
    <row r="6" spans="1:18">
      <c r="A6" s="126"/>
      <c r="B6" s="126"/>
      <c r="C6" s="126"/>
      <c r="D6" s="126"/>
      <c r="H6" s="5" t="s">
        <v>261</v>
      </c>
      <c r="I6" s="6">
        <f ca="1">SUMIF($C$19:$C$1417,"ENEN*",I$19:I$147)</f>
        <v>-106923863.71327285</v>
      </c>
      <c r="J6" s="6">
        <f t="shared" ref="J6:R6" ca="1" si="0">SUMIF($C$19:$C$1417,"ENEN*",J$19:J$147)</f>
        <v>-1450000</v>
      </c>
      <c r="K6" s="6">
        <f t="shared" ca="1" si="0"/>
        <v>0</v>
      </c>
      <c r="L6" s="6">
        <f t="shared" ca="1" si="0"/>
        <v>-108373863.71327285</v>
      </c>
      <c r="M6" s="6">
        <f t="shared" ca="1" si="0"/>
        <v>-25000000</v>
      </c>
      <c r="N6" s="6">
        <f t="shared" ca="1" si="0"/>
        <v>0</v>
      </c>
      <c r="O6" s="6">
        <f t="shared" ca="1" si="0"/>
        <v>-2672860.1400099993</v>
      </c>
      <c r="P6" s="6">
        <f t="shared" ca="1" si="0"/>
        <v>25176</v>
      </c>
      <c r="Q6" s="6">
        <f t="shared" ca="1" si="0"/>
        <v>430540.00003</v>
      </c>
      <c r="R6" s="6">
        <f t="shared" ca="1" si="0"/>
        <v>-135591007.85325286</v>
      </c>
    </row>
    <row r="7" spans="1:18">
      <c r="H7" s="5" t="s">
        <v>1</v>
      </c>
      <c r="I7" s="6">
        <f ca="1">SUMIF($C$19:$C$1417,"IYDA*",I$19:I$147)</f>
        <v>-4685736.0009700004</v>
      </c>
      <c r="J7" s="6">
        <f t="shared" ref="J7:R7" ca="1" si="1">SUMIF($C$19:$C$1417,"IYDA*",J$19:J$147)</f>
        <v>-198284</v>
      </c>
      <c r="K7" s="6">
        <f t="shared" ca="1" si="1"/>
        <v>0</v>
      </c>
      <c r="L7" s="6">
        <f t="shared" ca="1" si="1"/>
        <v>-4884020.0009700004</v>
      </c>
      <c r="M7" s="6">
        <f t="shared" ca="1" si="1"/>
        <v>0</v>
      </c>
      <c r="N7" s="6">
        <f t="shared" ca="1" si="1"/>
        <v>-689353</v>
      </c>
      <c r="O7" s="6">
        <f t="shared" ca="1" si="1"/>
        <v>-2217156</v>
      </c>
      <c r="P7" s="6">
        <f t="shared" ca="1" si="1"/>
        <v>0</v>
      </c>
      <c r="Q7" s="6">
        <f t="shared" ca="1" si="1"/>
        <v>889004.00000999996</v>
      </c>
      <c r="R7" s="6">
        <f t="shared" ca="1" si="1"/>
        <v>-6901525.0009600008</v>
      </c>
    </row>
    <row r="8" spans="1:18">
      <c r="H8" s="5" t="s">
        <v>2</v>
      </c>
      <c r="I8" s="6">
        <f>SUMIF($C$19:$C$147,"TI02*",I$19:I$147)</f>
        <v>-49024852.300591998</v>
      </c>
      <c r="J8" s="6">
        <f t="shared" ref="J8:R8" si="2">SUMIF($C$19:$C$147,"TI02*",J$19:J$147)</f>
        <v>0</v>
      </c>
      <c r="K8" s="6">
        <f t="shared" si="2"/>
        <v>-138000</v>
      </c>
      <c r="L8" s="6">
        <f t="shared" si="2"/>
        <v>-49162852.300591998</v>
      </c>
      <c r="M8" s="6">
        <f t="shared" si="2"/>
        <v>0</v>
      </c>
      <c r="N8" s="6">
        <f t="shared" si="2"/>
        <v>0</v>
      </c>
      <c r="O8" s="6">
        <f t="shared" si="2"/>
        <v>-6179858</v>
      </c>
      <c r="P8" s="6">
        <f t="shared" si="2"/>
        <v>883867</v>
      </c>
      <c r="Q8" s="6">
        <f t="shared" si="2"/>
        <v>218465.00002000001</v>
      </c>
      <c r="R8" s="6">
        <f t="shared" si="2"/>
        <v>-54240378.300572</v>
      </c>
    </row>
    <row r="9" spans="1:18">
      <c r="H9" s="5" t="s">
        <v>3</v>
      </c>
      <c r="I9" s="6">
        <f>SUMIF($C$19:$C$147,"TIEH*",I$19:I$147)</f>
        <v>-9273346.2856971435</v>
      </c>
      <c r="J9" s="6">
        <f t="shared" ref="J9:R9" si="3">SUMIF($C$19:$C$147,"TIEH*",J$19:J$147)</f>
        <v>-18352754</v>
      </c>
      <c r="K9" s="6">
        <f t="shared" si="3"/>
        <v>0</v>
      </c>
      <c r="L9" s="6">
        <f t="shared" si="3"/>
        <v>-27626100.28569714</v>
      </c>
      <c r="M9" s="6">
        <f t="shared" si="3"/>
        <v>0</v>
      </c>
      <c r="N9" s="6">
        <f t="shared" si="3"/>
        <v>0</v>
      </c>
      <c r="O9" s="6">
        <f t="shared" si="3"/>
        <v>-1429491</v>
      </c>
      <c r="P9" s="6">
        <f t="shared" si="3"/>
        <v>0</v>
      </c>
      <c r="Q9" s="6">
        <f t="shared" si="3"/>
        <v>7770276.0000400003</v>
      </c>
      <c r="R9" s="6">
        <f t="shared" si="3"/>
        <v>-21285315.285657145</v>
      </c>
    </row>
    <row r="10" spans="1:18">
      <c r="D10" s="1"/>
      <c r="H10" s="5" t="s">
        <v>4</v>
      </c>
      <c r="I10" s="6">
        <f t="shared" ref="I10:R10" si="4">SUMIF($C$19:$C$147,"TIEK*",I$19:I$147)</f>
        <v>-33832879</v>
      </c>
      <c r="J10" s="6">
        <f t="shared" si="4"/>
        <v>-15000</v>
      </c>
      <c r="K10" s="6">
        <f t="shared" si="4"/>
        <v>118000</v>
      </c>
      <c r="L10" s="6">
        <f>SUMIF($C$19:$C$147,"TIEK*",L$19:L$147)</f>
        <v>-33729879</v>
      </c>
      <c r="M10" s="6">
        <f t="shared" si="4"/>
        <v>0</v>
      </c>
      <c r="N10" s="6">
        <f t="shared" si="4"/>
        <v>0</v>
      </c>
      <c r="O10" s="6">
        <f t="shared" si="4"/>
        <v>-14115105</v>
      </c>
      <c r="P10" s="6">
        <f t="shared" si="4"/>
        <v>25000</v>
      </c>
      <c r="Q10" s="6">
        <f t="shared" si="4"/>
        <v>0</v>
      </c>
      <c r="R10" s="6">
        <f t="shared" si="4"/>
        <v>-47819984</v>
      </c>
    </row>
    <row r="11" spans="1:18">
      <c r="G11" s="127" t="s">
        <v>5</v>
      </c>
      <c r="H11" s="127"/>
      <c r="I11" s="6">
        <f>SUMIF($C$19:$C$147,"TRTR*",I$19:I$147)</f>
        <v>-57043512.000080004</v>
      </c>
      <c r="J11" s="6">
        <f t="shared" ref="J11:R11" si="5">SUMIF($C$19:$C$147,"TRTR*",J$19:J$147)</f>
        <v>-5876362</v>
      </c>
      <c r="K11" s="6">
        <f t="shared" si="5"/>
        <v>0</v>
      </c>
      <c r="L11" s="6">
        <f t="shared" si="5"/>
        <v>-62919874.000080004</v>
      </c>
      <c r="M11" s="6">
        <f t="shared" si="5"/>
        <v>0</v>
      </c>
      <c r="N11" s="6">
        <f t="shared" si="5"/>
        <v>0</v>
      </c>
      <c r="O11" s="6">
        <f t="shared" si="5"/>
        <v>-528672.93618732528</v>
      </c>
      <c r="P11" s="6">
        <f t="shared" si="5"/>
        <v>0</v>
      </c>
      <c r="Q11" s="6">
        <f t="shared" si="5"/>
        <v>31348725.000080001</v>
      </c>
      <c r="R11" s="6">
        <f t="shared" si="5"/>
        <v>-32099821.936187327</v>
      </c>
    </row>
    <row r="12" spans="1:18">
      <c r="G12" s="5"/>
      <c r="H12" s="5" t="s">
        <v>278</v>
      </c>
      <c r="I12" s="6">
        <f t="shared" ref="I12:K12" si="6">SUMIF($C$19:$C$147,"HE09*",I$19:I$147)</f>
        <v>0</v>
      </c>
      <c r="J12" s="6">
        <f t="shared" si="6"/>
        <v>0</v>
      </c>
      <c r="K12" s="6">
        <f t="shared" si="6"/>
        <v>0</v>
      </c>
      <c r="L12" s="6">
        <f>SUMIF($C$19:$C$147,"HE09*",L$19:L$147)</f>
        <v>0</v>
      </c>
      <c r="M12" s="6">
        <f t="shared" ref="M12:R12" si="7">SUMIF($C$19:$C$147,"HE09*",M$19:M$147)</f>
        <v>0</v>
      </c>
      <c r="N12" s="6">
        <f t="shared" si="7"/>
        <v>0</v>
      </c>
      <c r="O12" s="6">
        <f t="shared" si="7"/>
        <v>0</v>
      </c>
      <c r="P12" s="6">
        <f t="shared" si="7"/>
        <v>0</v>
      </c>
      <c r="Q12" s="6">
        <f t="shared" si="7"/>
        <v>-250000</v>
      </c>
      <c r="R12" s="6">
        <f t="shared" si="7"/>
        <v>-250000</v>
      </c>
    </row>
    <row r="13" spans="1:18">
      <c r="H13" s="5" t="s">
        <v>6</v>
      </c>
      <c r="I13" s="6">
        <f t="shared" ref="I13:M13" si="8">SUMIF($C$19:$C$147,"Jaguneb*",I$19:I$147)</f>
        <v>-468000</v>
      </c>
      <c r="J13" s="6">
        <f t="shared" si="8"/>
        <v>0</v>
      </c>
      <c r="K13" s="6">
        <f t="shared" si="8"/>
        <v>0</v>
      </c>
      <c r="L13" s="6">
        <f t="shared" si="8"/>
        <v>-468000</v>
      </c>
      <c r="M13" s="6">
        <f t="shared" si="8"/>
        <v>0</v>
      </c>
      <c r="N13" s="6">
        <f>SUMIF($C$19:$C$147,"Jaguneb*",N$19:N$147)</f>
        <v>0</v>
      </c>
      <c r="O13" s="6">
        <f t="shared" ref="O13:R13" si="9">SUMIF($C$19:$C$147,"Jaguneb*",O$19:O$147)</f>
        <v>0</v>
      </c>
      <c r="P13" s="6">
        <f t="shared" si="9"/>
        <v>0</v>
      </c>
      <c r="Q13" s="6">
        <f t="shared" si="9"/>
        <v>326500</v>
      </c>
      <c r="R13" s="6">
        <f t="shared" si="9"/>
        <v>-141500</v>
      </c>
    </row>
    <row r="14" spans="1:18">
      <c r="H14" s="8" t="s">
        <v>7</v>
      </c>
      <c r="I14" s="9">
        <f ca="1">SUM(I6:I13)</f>
        <v>-261252189.30061197</v>
      </c>
      <c r="J14" s="9">
        <f ca="1">SUM(J6:J13)</f>
        <v>-25892400</v>
      </c>
      <c r="K14" s="9">
        <f ca="1">SUM(K6:K13)</f>
        <v>-20000</v>
      </c>
      <c r="L14" s="9">
        <f ca="1">SUM(L6:L13)</f>
        <v>-287164589.30061197</v>
      </c>
      <c r="M14" s="9">
        <f t="shared" ref="M14:R14" ca="1" si="10">SUM(M6:M13)</f>
        <v>-25000000</v>
      </c>
      <c r="N14" s="9">
        <f t="shared" ref="N14:O14" ca="1" si="11">SUM(N6:N13)</f>
        <v>-689353</v>
      </c>
      <c r="O14" s="9">
        <f t="shared" ca="1" si="11"/>
        <v>-27143143.076197326</v>
      </c>
      <c r="P14" s="9">
        <f t="shared" ca="1" si="10"/>
        <v>934043</v>
      </c>
      <c r="Q14" s="9">
        <f t="shared" ca="1" si="10"/>
        <v>40733510.000179999</v>
      </c>
      <c r="R14" s="9">
        <f t="shared" ca="1" si="10"/>
        <v>-298329532.37662935</v>
      </c>
    </row>
    <row r="15" spans="1:18" s="51" customFormat="1" ht="62.25" customHeight="1">
      <c r="A15" s="52" t="s">
        <v>8</v>
      </c>
      <c r="B15" s="72"/>
      <c r="C15" s="52" t="s">
        <v>9</v>
      </c>
      <c r="D15" s="52" t="s">
        <v>10</v>
      </c>
      <c r="E15" s="53" t="s">
        <v>11</v>
      </c>
      <c r="F15" s="52" t="s">
        <v>12</v>
      </c>
      <c r="G15" s="52" t="s">
        <v>13</v>
      </c>
      <c r="H15" s="52" t="s">
        <v>14</v>
      </c>
      <c r="I15" s="52" t="s">
        <v>15</v>
      </c>
      <c r="J15" s="52" t="s">
        <v>194</v>
      </c>
      <c r="K15" s="43" t="s">
        <v>195</v>
      </c>
      <c r="L15" s="52" t="s">
        <v>15</v>
      </c>
      <c r="M15" s="54" t="s">
        <v>284</v>
      </c>
      <c r="N15" s="54" t="s">
        <v>280</v>
      </c>
      <c r="O15" s="114" t="s">
        <v>281</v>
      </c>
      <c r="P15" s="43" t="s">
        <v>195</v>
      </c>
      <c r="Q15" s="43" t="s">
        <v>262</v>
      </c>
      <c r="R15" s="54" t="s">
        <v>16</v>
      </c>
    </row>
    <row r="16" spans="1:18" s="51" customFormat="1" ht="30" customHeight="1">
      <c r="A16" s="44"/>
      <c r="B16" s="79"/>
      <c r="D16" s="59"/>
      <c r="E16" s="60"/>
      <c r="F16" s="44"/>
      <c r="G16" s="47"/>
      <c r="H16" s="48" t="s">
        <v>17</v>
      </c>
      <c r="I16" s="61" t="s">
        <v>18</v>
      </c>
      <c r="J16" s="61" t="s">
        <v>163</v>
      </c>
      <c r="K16" s="61" t="s">
        <v>196</v>
      </c>
      <c r="L16" s="50"/>
      <c r="M16" s="96" t="s">
        <v>249</v>
      </c>
      <c r="N16" s="96" t="s">
        <v>249</v>
      </c>
      <c r="O16" s="61" t="s">
        <v>163</v>
      </c>
      <c r="P16" s="61" t="s">
        <v>260</v>
      </c>
      <c r="Q16" s="61" t="s">
        <v>263</v>
      </c>
      <c r="R16" s="50"/>
    </row>
    <row r="17" spans="1:18" s="51" customFormat="1" ht="29.25" customHeight="1">
      <c r="A17" s="44"/>
      <c r="B17" s="84"/>
      <c r="C17" s="44" t="s">
        <v>19</v>
      </c>
      <c r="D17" s="45" t="s">
        <v>19</v>
      </c>
      <c r="E17" s="46" t="s">
        <v>19</v>
      </c>
      <c r="F17" s="44"/>
      <c r="G17" s="47"/>
      <c r="H17" s="48" t="s">
        <v>20</v>
      </c>
      <c r="I17" s="49">
        <v>2023</v>
      </c>
      <c r="J17" s="49" t="s">
        <v>162</v>
      </c>
      <c r="K17" s="49" t="s">
        <v>162</v>
      </c>
      <c r="L17" s="50"/>
      <c r="M17" s="49" t="s">
        <v>248</v>
      </c>
      <c r="N17" s="49" t="s">
        <v>282</v>
      </c>
      <c r="O17" s="115" t="s">
        <v>283</v>
      </c>
      <c r="P17" s="49" t="s">
        <v>308</v>
      </c>
      <c r="Q17" s="111" t="s">
        <v>264</v>
      </c>
      <c r="R17" s="50"/>
    </row>
    <row r="18" spans="1:18" s="1" customFormat="1" ht="13.2">
      <c r="A18" s="11"/>
      <c r="B18" s="73"/>
      <c r="C18" s="12"/>
      <c r="D18" s="13"/>
      <c r="E18" s="12"/>
      <c r="F18" s="12"/>
      <c r="G18" s="12"/>
      <c r="H18" s="12"/>
      <c r="I18" s="14">
        <f>SUBTOTAL(9,I19:I144)</f>
        <v>-261252189.30061203</v>
      </c>
      <c r="J18" s="14">
        <f>SUBTOTAL(9,J19:J144)</f>
        <v>-25892400</v>
      </c>
      <c r="K18" s="14">
        <f>SUBTOTAL(9,K19:K144)</f>
        <v>-20000</v>
      </c>
      <c r="L18" s="14">
        <f>SUBTOTAL(9,L19:L147)</f>
        <v>-287164589.30061203</v>
      </c>
      <c r="M18" s="14">
        <f t="shared" ref="M18:R18" si="12">SUBTOTAL(9,M19:M147)</f>
        <v>-25000000</v>
      </c>
      <c r="N18" s="14">
        <f t="shared" si="12"/>
        <v>-689353</v>
      </c>
      <c r="O18" s="14">
        <f t="shared" si="12"/>
        <v>-27143143.076197322</v>
      </c>
      <c r="P18" s="14">
        <f t="shared" si="12"/>
        <v>934043</v>
      </c>
      <c r="Q18" s="14">
        <f t="shared" si="12"/>
        <v>40733510.000179999</v>
      </c>
      <c r="R18" s="14">
        <f t="shared" si="12"/>
        <v>-298329532.37662917</v>
      </c>
    </row>
    <row r="19" spans="1:18" s="1" customFormat="1" ht="26.4">
      <c r="A19" s="15" t="s">
        <v>21</v>
      </c>
      <c r="B19" s="75" t="s">
        <v>22</v>
      </c>
      <c r="C19" s="16" t="s">
        <v>23</v>
      </c>
      <c r="D19" s="15" t="s">
        <v>24</v>
      </c>
      <c r="E19" s="16" t="s">
        <v>25</v>
      </c>
      <c r="F19" s="16"/>
      <c r="G19" s="16"/>
      <c r="H19" s="15" t="s">
        <v>26</v>
      </c>
      <c r="I19" s="17">
        <v>-33050000</v>
      </c>
      <c r="J19" s="17"/>
      <c r="K19" s="17"/>
      <c r="L19" s="17">
        <f>+I19+J19+K19</f>
        <v>-33050000</v>
      </c>
      <c r="M19" s="17"/>
      <c r="N19" s="17"/>
      <c r="O19" s="17"/>
      <c r="P19" s="17"/>
      <c r="Q19" s="17"/>
      <c r="R19" s="17">
        <f>SUM(L19:Q19)</f>
        <v>-33050000</v>
      </c>
    </row>
    <row r="20" spans="1:18" s="1" customFormat="1" ht="26.4">
      <c r="A20" s="15" t="s">
        <v>21</v>
      </c>
      <c r="B20" s="75" t="s">
        <v>22</v>
      </c>
      <c r="C20" s="16" t="s">
        <v>23</v>
      </c>
      <c r="D20" s="15" t="s">
        <v>24</v>
      </c>
      <c r="E20" s="16" t="s">
        <v>25</v>
      </c>
      <c r="F20" s="16" t="s">
        <v>250</v>
      </c>
      <c r="G20" s="16" t="s">
        <v>256</v>
      </c>
      <c r="H20" s="15" t="s">
        <v>26</v>
      </c>
      <c r="I20" s="17"/>
      <c r="J20" s="17"/>
      <c r="K20" s="17"/>
      <c r="L20" s="17">
        <f>+I20+J20+K20</f>
        <v>0</v>
      </c>
      <c r="M20" s="17">
        <f>-12650000-75000</f>
        <v>-12725000</v>
      </c>
      <c r="N20" s="17"/>
      <c r="O20" s="17"/>
      <c r="P20" s="17"/>
      <c r="Q20" s="17"/>
      <c r="R20" s="17">
        <f t="shared" ref="R20:R83" si="13">SUM(L20:Q20)</f>
        <v>-12725000</v>
      </c>
    </row>
    <row r="21" spans="1:18" s="1" customFormat="1" ht="29.25" customHeight="1">
      <c r="A21" s="15" t="s">
        <v>27</v>
      </c>
      <c r="B21" s="75" t="s">
        <v>28</v>
      </c>
      <c r="C21" s="16" t="s">
        <v>23</v>
      </c>
      <c r="D21" s="15" t="s">
        <v>24</v>
      </c>
      <c r="E21" s="16" t="s">
        <v>25</v>
      </c>
      <c r="F21" s="16"/>
      <c r="G21" s="16"/>
      <c r="H21" s="15" t="s">
        <v>26</v>
      </c>
      <c r="I21" s="17">
        <v>-46850000</v>
      </c>
      <c r="J21" s="17"/>
      <c r="K21" s="17"/>
      <c r="L21" s="17">
        <f t="shared" ref="L21:L26" si="14">+I21+J21+K21</f>
        <v>-46850000</v>
      </c>
      <c r="M21" s="17"/>
      <c r="N21" s="17"/>
      <c r="O21" s="17"/>
      <c r="P21" s="17"/>
      <c r="Q21" s="17"/>
      <c r="R21" s="17">
        <f t="shared" si="13"/>
        <v>-46850000</v>
      </c>
    </row>
    <row r="22" spans="1:18" s="1" customFormat="1" ht="29.25" customHeight="1">
      <c r="A22" s="15" t="s">
        <v>27</v>
      </c>
      <c r="B22" s="75" t="s">
        <v>28</v>
      </c>
      <c r="C22" s="16" t="s">
        <v>23</v>
      </c>
      <c r="D22" s="15" t="s">
        <v>24</v>
      </c>
      <c r="E22" s="16" t="s">
        <v>25</v>
      </c>
      <c r="F22" s="16" t="s">
        <v>250</v>
      </c>
      <c r="G22" s="16" t="s">
        <v>256</v>
      </c>
      <c r="H22" s="15" t="s">
        <v>26</v>
      </c>
      <c r="I22" s="17"/>
      <c r="J22" s="17"/>
      <c r="K22" s="17"/>
      <c r="L22" s="17">
        <f t="shared" si="14"/>
        <v>0</v>
      </c>
      <c r="M22" s="17">
        <v>-6525000</v>
      </c>
      <c r="N22" s="17"/>
      <c r="O22" s="17"/>
      <c r="P22" s="17"/>
      <c r="Q22" s="17"/>
      <c r="R22" s="17">
        <f t="shared" si="13"/>
        <v>-6525000</v>
      </c>
    </row>
    <row r="23" spans="1:18" s="1" customFormat="1" ht="29.25" customHeight="1">
      <c r="A23" s="15" t="s">
        <v>301</v>
      </c>
      <c r="B23" s="75"/>
      <c r="C23" s="16" t="s">
        <v>23</v>
      </c>
      <c r="D23" s="15" t="s">
        <v>24</v>
      </c>
      <c r="E23" s="16" t="s">
        <v>25</v>
      </c>
      <c r="F23" s="16" t="s">
        <v>299</v>
      </c>
      <c r="G23" s="16" t="s">
        <v>300</v>
      </c>
      <c r="H23" s="15" t="s">
        <v>26</v>
      </c>
      <c r="I23" s="17">
        <v>0</v>
      </c>
      <c r="J23" s="17"/>
      <c r="K23" s="17"/>
      <c r="L23" s="17">
        <f t="shared" si="14"/>
        <v>0</v>
      </c>
      <c r="M23" s="17"/>
      <c r="N23" s="17"/>
      <c r="O23" s="17">
        <v>-80000.140009999275</v>
      </c>
      <c r="P23" s="17"/>
      <c r="Q23" s="17"/>
      <c r="R23" s="17">
        <f t="shared" si="13"/>
        <v>-80000.140009999275</v>
      </c>
    </row>
    <row r="24" spans="1:18" s="1" customFormat="1" ht="26.4">
      <c r="A24" s="15" t="s">
        <v>29</v>
      </c>
      <c r="B24" s="75" t="s">
        <v>30</v>
      </c>
      <c r="C24" s="16" t="s">
        <v>31</v>
      </c>
      <c r="D24" s="15" t="s">
        <v>32</v>
      </c>
      <c r="E24" s="16" t="s">
        <v>25</v>
      </c>
      <c r="F24" s="16"/>
      <c r="G24" s="16"/>
      <c r="H24" s="15" t="s">
        <v>26</v>
      </c>
      <c r="I24" s="17">
        <v>-20460000</v>
      </c>
      <c r="J24" s="17"/>
      <c r="K24" s="17"/>
      <c r="L24" s="17">
        <f t="shared" si="14"/>
        <v>-20460000</v>
      </c>
      <c r="M24" s="17"/>
      <c r="N24" s="17"/>
      <c r="O24" s="17"/>
      <c r="P24" s="17"/>
      <c r="Q24" s="17"/>
      <c r="R24" s="17">
        <f t="shared" si="13"/>
        <v>-20460000</v>
      </c>
    </row>
    <row r="25" spans="1:18" s="1" customFormat="1" ht="26.4">
      <c r="A25" s="15" t="s">
        <v>29</v>
      </c>
      <c r="B25" s="75" t="s">
        <v>30</v>
      </c>
      <c r="C25" s="16" t="s">
        <v>31</v>
      </c>
      <c r="D25" s="15" t="s">
        <v>32</v>
      </c>
      <c r="E25" s="16" t="s">
        <v>25</v>
      </c>
      <c r="F25" s="16" t="s">
        <v>250</v>
      </c>
      <c r="G25" s="16" t="s">
        <v>256</v>
      </c>
      <c r="H25" s="15" t="s">
        <v>26</v>
      </c>
      <c r="I25" s="17"/>
      <c r="J25" s="17"/>
      <c r="K25" s="17"/>
      <c r="L25" s="17">
        <f t="shared" si="14"/>
        <v>0</v>
      </c>
      <c r="M25" s="17">
        <v>-5750000</v>
      </c>
      <c r="N25" s="17"/>
      <c r="O25" s="17"/>
      <c r="P25" s="17"/>
      <c r="Q25" s="17"/>
      <c r="R25" s="17">
        <f t="shared" si="13"/>
        <v>-5750000</v>
      </c>
    </row>
    <row r="26" spans="1:18" s="1" customFormat="1" ht="26.4">
      <c r="A26" s="1" t="s">
        <v>303</v>
      </c>
      <c r="B26" s="75"/>
      <c r="C26" s="16" t="s">
        <v>31</v>
      </c>
      <c r="D26" s="15" t="s">
        <v>32</v>
      </c>
      <c r="E26" s="16" t="s">
        <v>25</v>
      </c>
      <c r="F26" s="16" t="s">
        <v>302</v>
      </c>
      <c r="G26" s="16" t="s">
        <v>303</v>
      </c>
      <c r="H26" s="15" t="s">
        <v>26</v>
      </c>
      <c r="I26" s="17">
        <v>0</v>
      </c>
      <c r="J26" s="17"/>
      <c r="K26" s="17"/>
      <c r="L26" s="17">
        <f t="shared" si="14"/>
        <v>0</v>
      </c>
      <c r="M26" s="17"/>
      <c r="N26" s="17"/>
      <c r="O26" s="17">
        <v>-60000</v>
      </c>
      <c r="P26" s="17"/>
      <c r="Q26" s="17"/>
      <c r="R26" s="17">
        <f t="shared" si="13"/>
        <v>-60000</v>
      </c>
    </row>
    <row r="27" spans="1:18" s="1" customFormat="1" ht="13.2">
      <c r="A27" s="18" t="s">
        <v>197</v>
      </c>
      <c r="B27" s="19"/>
      <c r="C27" s="13"/>
      <c r="D27" s="18"/>
      <c r="E27" s="20"/>
      <c r="F27" s="20"/>
      <c r="G27" s="20"/>
      <c r="H27" s="20"/>
      <c r="I27" s="21">
        <f>+SUBTOTAL(9, I19:I26)</f>
        <v>-100360000</v>
      </c>
      <c r="J27" s="21">
        <f t="shared" ref="J27:R27" si="15">+SUBTOTAL(9, J19:J26)</f>
        <v>0</v>
      </c>
      <c r="K27" s="21">
        <f t="shared" si="15"/>
        <v>0</v>
      </c>
      <c r="L27" s="21">
        <f t="shared" si="15"/>
        <v>-100360000</v>
      </c>
      <c r="M27" s="21">
        <f t="shared" si="15"/>
        <v>-25000000</v>
      </c>
      <c r="N27" s="21">
        <f t="shared" si="15"/>
        <v>0</v>
      </c>
      <c r="O27" s="21">
        <f t="shared" si="15"/>
        <v>-140000.14000999928</v>
      </c>
      <c r="P27" s="21">
        <f t="shared" si="15"/>
        <v>0</v>
      </c>
      <c r="Q27" s="21">
        <f t="shared" si="15"/>
        <v>0</v>
      </c>
      <c r="R27" s="21">
        <f t="shared" si="15"/>
        <v>-125500000.14001</v>
      </c>
    </row>
    <row r="28" spans="1:18" s="23" customFormat="1" ht="26.4">
      <c r="A28" s="27" t="s">
        <v>198</v>
      </c>
      <c r="B28" s="75" t="s">
        <v>176</v>
      </c>
      <c r="C28" s="16" t="s">
        <v>59</v>
      </c>
      <c r="D28" s="15" t="s">
        <v>60</v>
      </c>
      <c r="E28" s="16" t="s">
        <v>25</v>
      </c>
      <c r="F28" s="16" t="s">
        <v>177</v>
      </c>
      <c r="G28" s="16" t="s">
        <v>178</v>
      </c>
      <c r="H28" s="15" t="s">
        <v>26</v>
      </c>
      <c r="I28" s="17">
        <v>0</v>
      </c>
      <c r="J28" s="17">
        <v>-1000000</v>
      </c>
      <c r="K28" s="17"/>
      <c r="L28" s="17">
        <f>+I28+J28+K28</f>
        <v>-1000000</v>
      </c>
      <c r="M28" s="97"/>
      <c r="N28" s="97"/>
      <c r="O28" s="17">
        <v>1000000</v>
      </c>
      <c r="P28" s="97"/>
      <c r="Q28" s="97"/>
      <c r="R28" s="17">
        <f t="shared" si="13"/>
        <v>0</v>
      </c>
    </row>
    <row r="29" spans="1:18" s="1" customFormat="1" ht="13.2">
      <c r="A29" s="18" t="s">
        <v>199</v>
      </c>
      <c r="B29" s="19"/>
      <c r="C29" s="13"/>
      <c r="D29" s="18"/>
      <c r="E29" s="20"/>
      <c r="F29" s="20"/>
      <c r="G29" s="20"/>
      <c r="H29" s="20"/>
      <c r="I29" s="21">
        <f>+SUBTOTAL(9, I28)</f>
        <v>0</v>
      </c>
      <c r="J29" s="21">
        <f t="shared" ref="J29:R29" si="16">+SUBTOTAL(9, J28)</f>
        <v>-1000000</v>
      </c>
      <c r="K29" s="21">
        <f t="shared" si="16"/>
        <v>0</v>
      </c>
      <c r="L29" s="21">
        <f t="shared" si="16"/>
        <v>-1000000</v>
      </c>
      <c r="M29" s="21">
        <f t="shared" si="16"/>
        <v>0</v>
      </c>
      <c r="N29" s="21">
        <f t="shared" si="16"/>
        <v>0</v>
      </c>
      <c r="O29" s="21">
        <f t="shared" si="16"/>
        <v>1000000</v>
      </c>
      <c r="P29" s="21">
        <f t="shared" si="16"/>
        <v>0</v>
      </c>
      <c r="Q29" s="21">
        <f t="shared" si="16"/>
        <v>0</v>
      </c>
      <c r="R29" s="21">
        <f t="shared" si="16"/>
        <v>0</v>
      </c>
    </row>
    <row r="30" spans="1:18" s="23" customFormat="1" ht="26.4">
      <c r="A30" s="27" t="s">
        <v>33</v>
      </c>
      <c r="B30" s="75" t="s">
        <v>34</v>
      </c>
      <c r="C30" s="16" t="s">
        <v>35</v>
      </c>
      <c r="D30" s="15" t="s">
        <v>36</v>
      </c>
      <c r="E30" s="16" t="s">
        <v>25</v>
      </c>
      <c r="F30" s="16"/>
      <c r="G30" s="16"/>
      <c r="H30" s="15" t="s">
        <v>26</v>
      </c>
      <c r="I30" s="17">
        <v>-5200000</v>
      </c>
      <c r="J30" s="17"/>
      <c r="K30" s="17"/>
      <c r="L30" s="17">
        <f t="shared" ref="L30:L32" si="17">+I30+J30+K30</f>
        <v>-5200000</v>
      </c>
      <c r="M30" s="97"/>
      <c r="N30" s="97"/>
      <c r="O30" s="17">
        <v>-3532860</v>
      </c>
      <c r="P30" s="17"/>
      <c r="Q30" s="17"/>
      <c r="R30" s="17">
        <f t="shared" si="13"/>
        <v>-8732860</v>
      </c>
    </row>
    <row r="31" spans="1:18" s="23" customFormat="1" ht="26.4">
      <c r="A31" s="22"/>
      <c r="B31" s="75" t="s">
        <v>34</v>
      </c>
      <c r="C31" s="16" t="s">
        <v>35</v>
      </c>
      <c r="D31" s="15" t="s">
        <v>36</v>
      </c>
      <c r="E31" s="16" t="s">
        <v>25</v>
      </c>
      <c r="F31" s="16" t="s">
        <v>179</v>
      </c>
      <c r="G31" s="16" t="s">
        <v>180</v>
      </c>
      <c r="H31" s="15" t="s">
        <v>26</v>
      </c>
      <c r="I31" s="17">
        <v>0</v>
      </c>
      <c r="J31" s="17">
        <v>-450000</v>
      </c>
      <c r="K31" s="17"/>
      <c r="L31" s="17">
        <f t="shared" si="17"/>
        <v>-450000</v>
      </c>
      <c r="M31" s="97"/>
      <c r="N31" s="97"/>
      <c r="O31" s="17"/>
      <c r="P31" s="17"/>
      <c r="Q31" s="17"/>
      <c r="R31" s="17">
        <f t="shared" si="13"/>
        <v>-450000</v>
      </c>
    </row>
    <row r="32" spans="1:18" s="1" customFormat="1" ht="26.4">
      <c r="A32" s="22"/>
      <c r="B32" s="75" t="s">
        <v>34</v>
      </c>
      <c r="C32" s="16" t="s">
        <v>35</v>
      </c>
      <c r="D32" s="15" t="s">
        <v>36</v>
      </c>
      <c r="E32" s="16" t="s">
        <v>25</v>
      </c>
      <c r="F32" s="16"/>
      <c r="G32" s="16"/>
      <c r="H32" s="15" t="s">
        <v>37</v>
      </c>
      <c r="I32" s="17">
        <v>-849999.99999000027</v>
      </c>
      <c r="J32" s="17"/>
      <c r="K32" s="17"/>
      <c r="L32" s="17">
        <f t="shared" si="17"/>
        <v>-849999.99999000027</v>
      </c>
      <c r="M32" s="17"/>
      <c r="N32" s="17"/>
      <c r="O32" s="17"/>
      <c r="P32" s="17"/>
      <c r="Q32" s="17"/>
      <c r="R32" s="17">
        <f t="shared" si="13"/>
        <v>-849999.99999000027</v>
      </c>
    </row>
    <row r="33" spans="1:18" s="23" customFormat="1" ht="13.2">
      <c r="A33" s="24" t="s">
        <v>38</v>
      </c>
      <c r="B33" s="73"/>
      <c r="C33" s="12"/>
      <c r="D33" s="13"/>
      <c r="E33" s="12"/>
      <c r="F33" s="12"/>
      <c r="G33" s="12"/>
      <c r="H33" s="12"/>
      <c r="I33" s="25">
        <f>+SUBTOTAL(9, I30:I32)</f>
        <v>-6049999.9999900004</v>
      </c>
      <c r="J33" s="25">
        <f t="shared" ref="J33:R33" si="18">+SUBTOTAL(9, J30:J32)</f>
        <v>-450000</v>
      </c>
      <c r="K33" s="25">
        <f t="shared" si="18"/>
        <v>0</v>
      </c>
      <c r="L33" s="25">
        <f t="shared" si="18"/>
        <v>-6499999.9999900004</v>
      </c>
      <c r="M33" s="25">
        <f t="shared" si="18"/>
        <v>0</v>
      </c>
      <c r="N33" s="25">
        <f t="shared" si="18"/>
        <v>0</v>
      </c>
      <c r="O33" s="25">
        <f t="shared" si="18"/>
        <v>-3532860</v>
      </c>
      <c r="P33" s="25">
        <f t="shared" si="18"/>
        <v>0</v>
      </c>
      <c r="Q33" s="25">
        <f t="shared" si="18"/>
        <v>0</v>
      </c>
      <c r="R33" s="25">
        <f t="shared" si="18"/>
        <v>-10032859.999989999</v>
      </c>
    </row>
    <row r="34" spans="1:18" s="1" customFormat="1" ht="14.4" customHeight="1">
      <c r="A34" s="26" t="s">
        <v>39</v>
      </c>
      <c r="B34" s="74" t="s">
        <v>40</v>
      </c>
      <c r="C34" s="16" t="s">
        <v>41</v>
      </c>
      <c r="D34" s="15" t="s">
        <v>42</v>
      </c>
      <c r="E34" s="16" t="s">
        <v>25</v>
      </c>
      <c r="F34" s="16" t="s">
        <v>43</v>
      </c>
      <c r="G34" s="16" t="s">
        <v>44</v>
      </c>
      <c r="H34" s="16" t="s">
        <v>45</v>
      </c>
      <c r="I34" s="17">
        <v>-699999.99999000004</v>
      </c>
      <c r="J34" s="17">
        <v>-104008</v>
      </c>
      <c r="K34" s="17">
        <v>150000</v>
      </c>
      <c r="L34" s="17">
        <f t="shared" ref="L34:L35" si="19">+I34+J34+K34</f>
        <v>-654007.99999000004</v>
      </c>
      <c r="M34" s="17"/>
      <c r="N34" s="17"/>
      <c r="O34" s="17">
        <v>-7411</v>
      </c>
      <c r="P34" s="17"/>
      <c r="Q34" s="17"/>
      <c r="R34" s="17">
        <f t="shared" si="13"/>
        <v>-661418.99999000004</v>
      </c>
    </row>
    <row r="35" spans="1:18" s="1" customFormat="1" ht="14.4" customHeight="1">
      <c r="A35" s="16"/>
      <c r="B35" s="75" t="s">
        <v>40</v>
      </c>
      <c r="C35" s="16" t="s">
        <v>41</v>
      </c>
      <c r="D35" s="15" t="s">
        <v>42</v>
      </c>
      <c r="E35" s="16" t="s">
        <v>25</v>
      </c>
      <c r="F35" s="16"/>
      <c r="G35" s="16"/>
      <c r="H35" s="15" t="s">
        <v>37</v>
      </c>
      <c r="I35" s="17">
        <v>-2207736.00098</v>
      </c>
      <c r="J35" s="17"/>
      <c r="K35" s="17">
        <v>-150000</v>
      </c>
      <c r="L35" s="17">
        <f t="shared" si="19"/>
        <v>-2357736.00098</v>
      </c>
      <c r="M35" s="17"/>
      <c r="N35" s="17"/>
      <c r="O35" s="17"/>
      <c r="P35" s="17"/>
      <c r="Q35" s="17"/>
      <c r="R35" s="17">
        <f t="shared" si="13"/>
        <v>-2357736.00098</v>
      </c>
    </row>
    <row r="36" spans="1:18" s="1" customFormat="1" ht="14.4" customHeight="1">
      <c r="A36" s="16"/>
      <c r="B36" s="75"/>
      <c r="C36" s="16" t="s">
        <v>41</v>
      </c>
      <c r="D36" s="15" t="s">
        <v>42</v>
      </c>
      <c r="E36" s="16" t="s">
        <v>25</v>
      </c>
      <c r="F36" s="117" t="s">
        <v>292</v>
      </c>
      <c r="G36" s="117" t="s">
        <v>293</v>
      </c>
      <c r="H36" s="16" t="s">
        <v>45</v>
      </c>
      <c r="I36" s="17"/>
      <c r="J36" s="17"/>
      <c r="K36" s="17"/>
      <c r="L36" s="17"/>
      <c r="M36" s="17"/>
      <c r="N36" s="17"/>
      <c r="O36" s="17">
        <v>-1098000</v>
      </c>
      <c r="P36" s="17"/>
      <c r="Q36" s="17"/>
      <c r="R36" s="17">
        <f t="shared" si="13"/>
        <v>-1098000</v>
      </c>
    </row>
    <row r="37" spans="1:18" s="1" customFormat="1" ht="14.4" customHeight="1">
      <c r="A37" s="16"/>
      <c r="B37" s="75"/>
      <c r="C37" s="16" t="s">
        <v>41</v>
      </c>
      <c r="D37" s="15" t="s">
        <v>42</v>
      </c>
      <c r="E37" s="16" t="s">
        <v>25</v>
      </c>
      <c r="F37" s="117" t="s">
        <v>179</v>
      </c>
      <c r="G37" s="117" t="s">
        <v>180</v>
      </c>
      <c r="H37" s="15" t="s">
        <v>37</v>
      </c>
      <c r="I37" s="17"/>
      <c r="J37" s="17"/>
      <c r="K37" s="17"/>
      <c r="L37" s="17"/>
      <c r="M37" s="17"/>
      <c r="N37" s="17"/>
      <c r="O37" s="17">
        <f>-171000-59857</f>
        <v>-230857</v>
      </c>
      <c r="P37" s="17"/>
      <c r="Q37" s="17"/>
      <c r="R37" s="17">
        <f t="shared" si="13"/>
        <v>-230857</v>
      </c>
    </row>
    <row r="38" spans="1:18" s="1" customFormat="1" ht="14.4" customHeight="1">
      <c r="A38" s="16"/>
      <c r="B38" s="75"/>
      <c r="C38" s="16" t="s">
        <v>41</v>
      </c>
      <c r="D38" s="15" t="s">
        <v>42</v>
      </c>
      <c r="E38" s="16" t="s">
        <v>25</v>
      </c>
      <c r="F38" s="117" t="s">
        <v>294</v>
      </c>
      <c r="G38" s="117" t="s">
        <v>295</v>
      </c>
      <c r="H38" s="16" t="s">
        <v>45</v>
      </c>
      <c r="I38" s="17"/>
      <c r="J38" s="17"/>
      <c r="K38" s="17"/>
      <c r="L38" s="17"/>
      <c r="M38" s="17"/>
      <c r="N38" s="17"/>
      <c r="O38" s="17">
        <v>-426850</v>
      </c>
      <c r="P38" s="17"/>
      <c r="Q38" s="17"/>
      <c r="R38" s="17">
        <f t="shared" si="13"/>
        <v>-426850</v>
      </c>
    </row>
    <row r="39" spans="1:18" s="1" customFormat="1" ht="14.4" customHeight="1">
      <c r="A39" s="16"/>
      <c r="B39" s="75"/>
      <c r="C39" s="16" t="s">
        <v>41</v>
      </c>
      <c r="D39" s="15" t="s">
        <v>42</v>
      </c>
      <c r="E39" s="16" t="s">
        <v>25</v>
      </c>
      <c r="F39" s="117" t="s">
        <v>294</v>
      </c>
      <c r="G39" s="117" t="s">
        <v>295</v>
      </c>
      <c r="H39" s="15" t="s">
        <v>37</v>
      </c>
      <c r="I39" s="17"/>
      <c r="J39" s="17"/>
      <c r="K39" s="17"/>
      <c r="L39" s="17"/>
      <c r="M39" s="17"/>
      <c r="N39" s="17"/>
      <c r="O39" s="17">
        <v>-109256</v>
      </c>
      <c r="P39" s="17"/>
      <c r="Q39" s="17"/>
      <c r="R39" s="17">
        <f t="shared" si="13"/>
        <v>-109256</v>
      </c>
    </row>
    <row r="40" spans="1:18" s="1" customFormat="1" ht="14.4" customHeight="1">
      <c r="A40" s="16"/>
      <c r="B40" s="75"/>
      <c r="C40" s="16" t="s">
        <v>41</v>
      </c>
      <c r="D40" s="15" t="s">
        <v>42</v>
      </c>
      <c r="E40" s="16" t="s">
        <v>25</v>
      </c>
      <c r="F40" s="16" t="s">
        <v>285</v>
      </c>
      <c r="G40" s="16" t="s">
        <v>286</v>
      </c>
      <c r="H40" s="16" t="s">
        <v>45</v>
      </c>
      <c r="I40" s="17"/>
      <c r="J40" s="17"/>
      <c r="K40" s="17"/>
      <c r="L40" s="17">
        <v>0</v>
      </c>
      <c r="M40" s="17"/>
      <c r="N40" s="17">
        <v>-228873</v>
      </c>
      <c r="O40" s="17"/>
      <c r="P40" s="17"/>
      <c r="Q40" s="17"/>
      <c r="R40" s="17">
        <f t="shared" si="13"/>
        <v>-228873</v>
      </c>
    </row>
    <row r="41" spans="1:18" s="1" customFormat="1" ht="14.4" customHeight="1">
      <c r="A41" s="16"/>
      <c r="B41" s="75"/>
      <c r="C41" s="16" t="s">
        <v>41</v>
      </c>
      <c r="D41" s="15" t="s">
        <v>42</v>
      </c>
      <c r="E41" s="16" t="s">
        <v>25</v>
      </c>
      <c r="F41" s="16" t="s">
        <v>285</v>
      </c>
      <c r="G41" s="16" t="s">
        <v>286</v>
      </c>
      <c r="H41" s="15" t="s">
        <v>37</v>
      </c>
      <c r="I41" s="17"/>
      <c r="J41" s="17"/>
      <c r="K41" s="17"/>
      <c r="L41" s="17">
        <v>0</v>
      </c>
      <c r="M41" s="17"/>
      <c r="N41" s="17">
        <f>-689353-N40</f>
        <v>-460480</v>
      </c>
      <c r="O41" s="17"/>
      <c r="P41" s="17"/>
      <c r="Q41" s="17"/>
      <c r="R41" s="17">
        <f t="shared" si="13"/>
        <v>-460480</v>
      </c>
    </row>
    <row r="42" spans="1:18" s="23" customFormat="1" ht="13.2">
      <c r="A42" s="128" t="s">
        <v>46</v>
      </c>
      <c r="B42" s="128"/>
      <c r="C42" s="128"/>
      <c r="D42" s="13"/>
      <c r="E42" s="12"/>
      <c r="F42" s="12"/>
      <c r="G42" s="12"/>
      <c r="H42" s="12"/>
      <c r="I42" s="25">
        <f>+SUBTOTAL(9, I34:I35)</f>
        <v>-2907736.0009699999</v>
      </c>
      <c r="J42" s="25">
        <f>+SUBTOTAL(9, J34:J35)</f>
        <v>-104008</v>
      </c>
      <c r="K42" s="25">
        <f>+SUBTOTAL(9, K34:K35)</f>
        <v>0</v>
      </c>
      <c r="L42" s="25">
        <f>+SUBTOTAL(9, L34:L41)</f>
        <v>-3011744.0009699999</v>
      </c>
      <c r="M42" s="25">
        <f t="shared" ref="M42:R42" si="20">+SUBTOTAL(9, M34:M41)</f>
        <v>0</v>
      </c>
      <c r="N42" s="25">
        <f t="shared" si="20"/>
        <v>-689353</v>
      </c>
      <c r="O42" s="25">
        <f t="shared" si="20"/>
        <v>-1872374</v>
      </c>
      <c r="P42" s="25">
        <f t="shared" si="20"/>
        <v>0</v>
      </c>
      <c r="Q42" s="25">
        <f t="shared" si="20"/>
        <v>0</v>
      </c>
      <c r="R42" s="25">
        <f t="shared" si="20"/>
        <v>-5573471.0009700004</v>
      </c>
    </row>
    <row r="43" spans="1:18" s="1" customFormat="1" ht="13.2">
      <c r="A43" s="27" t="s">
        <v>47</v>
      </c>
      <c r="B43" s="85" t="s">
        <v>48</v>
      </c>
      <c r="C43" s="16" t="s">
        <v>49</v>
      </c>
      <c r="D43" s="15" t="s">
        <v>50</v>
      </c>
      <c r="E43" s="16" t="s">
        <v>25</v>
      </c>
      <c r="F43" s="16" t="s">
        <v>19</v>
      </c>
      <c r="G43" s="16" t="s">
        <v>19</v>
      </c>
      <c r="H43" s="15" t="s">
        <v>37</v>
      </c>
      <c r="I43" s="17">
        <v>-1778000</v>
      </c>
      <c r="J43" s="17"/>
      <c r="K43" s="17"/>
      <c r="L43" s="17">
        <f>+I43+J43+K43</f>
        <v>-1778000</v>
      </c>
      <c r="M43" s="17"/>
      <c r="N43" s="17"/>
      <c r="O43" s="17"/>
      <c r="P43" s="17"/>
      <c r="Q43" s="17">
        <v>889004.00000999996</v>
      </c>
      <c r="R43" s="17">
        <f t="shared" si="13"/>
        <v>-888995.99999000004</v>
      </c>
    </row>
    <row r="44" spans="1:18" s="23" customFormat="1" ht="13.2">
      <c r="A44" s="28" t="s">
        <v>51</v>
      </c>
      <c r="B44" s="76"/>
      <c r="C44" s="12"/>
      <c r="D44" s="13"/>
      <c r="E44" s="12"/>
      <c r="F44" s="12"/>
      <c r="G44" s="12"/>
      <c r="H44" s="12"/>
      <c r="I44" s="25">
        <f>+SUBTOTAL(9, I43)</f>
        <v>-1778000</v>
      </c>
      <c r="J44" s="25">
        <f t="shared" ref="J44:R44" si="21">+SUBTOTAL(9, J43)</f>
        <v>0</v>
      </c>
      <c r="K44" s="25">
        <f t="shared" si="21"/>
        <v>0</v>
      </c>
      <c r="L44" s="25">
        <f t="shared" si="21"/>
        <v>-1778000</v>
      </c>
      <c r="M44" s="25">
        <f t="shared" si="21"/>
        <v>0</v>
      </c>
      <c r="N44" s="25">
        <f t="shared" si="21"/>
        <v>0</v>
      </c>
      <c r="O44" s="25">
        <f t="shared" si="21"/>
        <v>0</v>
      </c>
      <c r="P44" s="25">
        <f t="shared" si="21"/>
        <v>0</v>
      </c>
      <c r="Q44" s="25">
        <f t="shared" si="21"/>
        <v>889004.00000999996</v>
      </c>
      <c r="R44" s="25">
        <f t="shared" si="21"/>
        <v>-888995.99999000004</v>
      </c>
    </row>
    <row r="45" spans="1:18" s="55" customFormat="1" ht="30" customHeight="1">
      <c r="A45" s="40" t="s">
        <v>189</v>
      </c>
      <c r="B45" s="77" t="s">
        <v>190</v>
      </c>
      <c r="C45" s="41" t="s">
        <v>181</v>
      </c>
      <c r="D45" s="40" t="s">
        <v>182</v>
      </c>
      <c r="E45" s="16" t="s">
        <v>25</v>
      </c>
      <c r="F45" s="16" t="s">
        <v>187</v>
      </c>
      <c r="G45" s="16" t="s">
        <v>188</v>
      </c>
      <c r="H45" s="99" t="s">
        <v>26</v>
      </c>
      <c r="I45" s="100">
        <v>0</v>
      </c>
      <c r="J45" s="100">
        <v>-94276</v>
      </c>
      <c r="K45" s="100"/>
      <c r="L45" s="17">
        <f>+I45+J45+K45</f>
        <v>-94276</v>
      </c>
      <c r="M45" s="17"/>
      <c r="N45" s="17"/>
      <c r="O45" s="17">
        <v>294</v>
      </c>
      <c r="P45" s="17"/>
      <c r="Q45" s="17"/>
      <c r="R45" s="17">
        <f t="shared" si="13"/>
        <v>-93982</v>
      </c>
    </row>
    <row r="46" spans="1:18" s="23" customFormat="1" ht="13.2">
      <c r="A46" s="29" t="s">
        <v>191</v>
      </c>
      <c r="B46" s="78"/>
      <c r="C46" s="12"/>
      <c r="D46" s="13"/>
      <c r="E46" s="12"/>
      <c r="F46" s="12"/>
      <c r="G46" s="12"/>
      <c r="H46" s="12"/>
      <c r="I46" s="25">
        <f>+SUBTOTAL(9, I45)</f>
        <v>0</v>
      </c>
      <c r="J46" s="25">
        <f t="shared" ref="J46:R46" si="22">+SUBTOTAL(9, J45)</f>
        <v>-94276</v>
      </c>
      <c r="K46" s="25">
        <f t="shared" si="22"/>
        <v>0</v>
      </c>
      <c r="L46" s="25">
        <f t="shared" si="22"/>
        <v>-94276</v>
      </c>
      <c r="M46" s="25">
        <f t="shared" si="22"/>
        <v>0</v>
      </c>
      <c r="N46" s="25">
        <f t="shared" si="22"/>
        <v>0</v>
      </c>
      <c r="O46" s="25">
        <f t="shared" si="22"/>
        <v>294</v>
      </c>
      <c r="P46" s="25">
        <f t="shared" si="22"/>
        <v>0</v>
      </c>
      <c r="Q46" s="25">
        <f t="shared" si="22"/>
        <v>0</v>
      </c>
      <c r="R46" s="25">
        <f t="shared" si="22"/>
        <v>-93982</v>
      </c>
    </row>
    <row r="47" spans="1:18" s="1" customFormat="1" ht="26.4">
      <c r="A47" s="41" t="s">
        <v>296</v>
      </c>
      <c r="B47" s="120" t="s">
        <v>297</v>
      </c>
      <c r="C47" s="41" t="s">
        <v>181</v>
      </c>
      <c r="D47" s="40" t="s">
        <v>182</v>
      </c>
      <c r="E47" s="119" t="s">
        <v>25</v>
      </c>
      <c r="F47" s="41" t="s">
        <v>179</v>
      </c>
      <c r="G47" s="41" t="s">
        <v>180</v>
      </c>
      <c r="H47" s="41" t="s">
        <v>26</v>
      </c>
      <c r="I47" s="17">
        <v>0</v>
      </c>
      <c r="J47" s="17"/>
      <c r="K47" s="17"/>
      <c r="L47" s="17">
        <f>SUM(I47:K47)</f>
        <v>0</v>
      </c>
      <c r="M47" s="17"/>
      <c r="N47" s="17"/>
      <c r="O47" s="17">
        <v>-200000</v>
      </c>
      <c r="P47" s="17"/>
      <c r="Q47" s="17"/>
      <c r="R47" s="17">
        <f t="shared" si="13"/>
        <v>-200000</v>
      </c>
    </row>
    <row r="48" spans="1:18" s="23" customFormat="1" ht="13.2">
      <c r="A48" s="118" t="s">
        <v>298</v>
      </c>
      <c r="B48" s="118"/>
      <c r="C48" s="42"/>
      <c r="D48" s="42"/>
      <c r="E48" s="42"/>
      <c r="F48" s="118"/>
      <c r="G48" s="118"/>
      <c r="H48" s="118"/>
      <c r="I48" s="25">
        <f>+SUBTOTAL(9, I47)</f>
        <v>0</v>
      </c>
      <c r="J48" s="25">
        <f t="shared" ref="J48:R48" si="23">+SUBTOTAL(9, J47)</f>
        <v>0</v>
      </c>
      <c r="K48" s="25">
        <f t="shared" si="23"/>
        <v>0</v>
      </c>
      <c r="L48" s="25">
        <f t="shared" si="23"/>
        <v>0</v>
      </c>
      <c r="M48" s="25">
        <f t="shared" si="23"/>
        <v>0</v>
      </c>
      <c r="N48" s="25">
        <f t="shared" si="23"/>
        <v>0</v>
      </c>
      <c r="O48" s="25">
        <f t="shared" si="23"/>
        <v>-200000</v>
      </c>
      <c r="P48" s="25">
        <f t="shared" si="23"/>
        <v>0</v>
      </c>
      <c r="Q48" s="25">
        <f t="shared" si="23"/>
        <v>0</v>
      </c>
      <c r="R48" s="25">
        <f t="shared" si="23"/>
        <v>-200000</v>
      </c>
    </row>
    <row r="49" spans="1:18" s="55" customFormat="1" ht="34.200000000000003" customHeight="1">
      <c r="A49" s="66" t="s">
        <v>222</v>
      </c>
      <c r="B49" s="69" t="s">
        <v>225</v>
      </c>
      <c r="C49" s="41" t="s">
        <v>53</v>
      </c>
      <c r="D49" s="40" t="s">
        <v>54</v>
      </c>
      <c r="E49" s="16" t="s">
        <v>25</v>
      </c>
      <c r="F49" s="101"/>
      <c r="G49" s="101"/>
      <c r="H49" s="15" t="s">
        <v>224</v>
      </c>
      <c r="I49" s="17">
        <v>0</v>
      </c>
      <c r="J49" s="17"/>
      <c r="K49" s="17">
        <f>-4000000-1900000</f>
        <v>-5900000</v>
      </c>
      <c r="L49" s="17">
        <f>+I49+J49+K49</f>
        <v>-5900000</v>
      </c>
      <c r="M49" s="17"/>
      <c r="N49" s="17"/>
      <c r="O49" s="17"/>
      <c r="P49" s="17"/>
      <c r="Q49" s="17"/>
      <c r="R49" s="17">
        <f t="shared" si="13"/>
        <v>-5900000</v>
      </c>
    </row>
    <row r="50" spans="1:18" s="23" customFormat="1" ht="13.2">
      <c r="A50" s="67" t="s">
        <v>223</v>
      </c>
      <c r="B50" s="78"/>
      <c r="C50" s="12"/>
      <c r="D50" s="13"/>
      <c r="E50" s="12"/>
      <c r="F50" s="12"/>
      <c r="G50" s="12"/>
      <c r="H50" s="12"/>
      <c r="I50" s="25">
        <f>+SUBTOTAL(9, I49)</f>
        <v>0</v>
      </c>
      <c r="J50" s="25">
        <f t="shared" ref="J50:R50" si="24">+SUBTOTAL(9, J49)</f>
        <v>0</v>
      </c>
      <c r="K50" s="25">
        <f t="shared" si="24"/>
        <v>-5900000</v>
      </c>
      <c r="L50" s="25">
        <f t="shared" si="24"/>
        <v>-5900000</v>
      </c>
      <c r="M50" s="25">
        <f t="shared" si="24"/>
        <v>0</v>
      </c>
      <c r="N50" s="25">
        <f t="shared" si="24"/>
        <v>0</v>
      </c>
      <c r="O50" s="25">
        <f t="shared" si="24"/>
        <v>0</v>
      </c>
      <c r="P50" s="25">
        <f t="shared" si="24"/>
        <v>0</v>
      </c>
      <c r="Q50" s="25">
        <f t="shared" si="24"/>
        <v>0</v>
      </c>
      <c r="R50" s="25">
        <f t="shared" si="24"/>
        <v>-5900000</v>
      </c>
    </row>
    <row r="51" spans="1:18" s="1" customFormat="1" ht="29.4" customHeight="1">
      <c r="A51" s="64" t="s">
        <v>226</v>
      </c>
      <c r="B51" s="69" t="s">
        <v>228</v>
      </c>
      <c r="C51" s="41" t="s">
        <v>53</v>
      </c>
      <c r="D51" s="40" t="s">
        <v>54</v>
      </c>
      <c r="E51" s="16" t="s">
        <v>25</v>
      </c>
      <c r="F51" s="16"/>
      <c r="G51" s="16"/>
      <c r="H51" s="99" t="s">
        <v>233</v>
      </c>
      <c r="I51" s="17">
        <v>0</v>
      </c>
      <c r="J51" s="17"/>
      <c r="K51" s="17">
        <v>-950000</v>
      </c>
      <c r="L51" s="17">
        <f>+I51+J51+K51</f>
        <v>-950000</v>
      </c>
      <c r="M51" s="17"/>
      <c r="N51" s="17"/>
      <c r="O51" s="17">
        <v>-701099</v>
      </c>
      <c r="P51" s="17"/>
      <c r="Q51" s="17"/>
      <c r="R51" s="17">
        <f t="shared" si="13"/>
        <v>-1651099</v>
      </c>
    </row>
    <row r="52" spans="1:18" s="1" customFormat="1" ht="29.4" customHeight="1">
      <c r="A52" s="66"/>
      <c r="B52" s="69" t="s">
        <v>229</v>
      </c>
      <c r="C52" s="41" t="s">
        <v>53</v>
      </c>
      <c r="D52" s="40" t="s">
        <v>54</v>
      </c>
      <c r="E52" s="16" t="s">
        <v>25</v>
      </c>
      <c r="F52" s="16"/>
      <c r="G52" s="16"/>
      <c r="H52" s="99" t="s">
        <v>234</v>
      </c>
      <c r="I52" s="17">
        <v>0</v>
      </c>
      <c r="J52" s="17"/>
      <c r="K52" s="102">
        <v>-1400000</v>
      </c>
      <c r="L52" s="17">
        <f t="shared" ref="L52:L53" si="25">+I52+J52+K52</f>
        <v>-1400000</v>
      </c>
      <c r="M52" s="17"/>
      <c r="N52" s="17"/>
      <c r="O52" s="17">
        <v>-1968476</v>
      </c>
      <c r="P52" s="17"/>
      <c r="Q52" s="17"/>
      <c r="R52" s="17">
        <f t="shared" si="13"/>
        <v>-3368476</v>
      </c>
    </row>
    <row r="53" spans="1:18" s="1" customFormat="1" ht="42" customHeight="1">
      <c r="A53" s="66"/>
      <c r="B53" s="69" t="s">
        <v>230</v>
      </c>
      <c r="C53" s="41" t="s">
        <v>53</v>
      </c>
      <c r="D53" s="40" t="s">
        <v>54</v>
      </c>
      <c r="E53" s="16" t="s">
        <v>25</v>
      </c>
      <c r="F53" s="16"/>
      <c r="G53" s="16"/>
      <c r="H53" s="99" t="s">
        <v>235</v>
      </c>
      <c r="I53" s="17">
        <v>0</v>
      </c>
      <c r="J53" s="17"/>
      <c r="K53" s="17">
        <v>-520040</v>
      </c>
      <c r="L53" s="17">
        <f t="shared" si="25"/>
        <v>-520040</v>
      </c>
      <c r="M53" s="17"/>
      <c r="N53" s="17"/>
      <c r="O53" s="17">
        <v>-8264</v>
      </c>
      <c r="P53" s="17"/>
      <c r="Q53" s="17"/>
      <c r="R53" s="17">
        <f t="shared" si="13"/>
        <v>-528304</v>
      </c>
    </row>
    <row r="54" spans="1:18" s="23" customFormat="1" ht="13.2">
      <c r="A54" s="29" t="s">
        <v>227</v>
      </c>
      <c r="B54" s="78"/>
      <c r="C54" s="12"/>
      <c r="D54" s="13"/>
      <c r="E54" s="12"/>
      <c r="F54" s="12"/>
      <c r="G54" s="12"/>
      <c r="H54" s="12"/>
      <c r="I54" s="25">
        <f>+SUBTOTAL(9, I51:I53)</f>
        <v>0</v>
      </c>
      <c r="J54" s="25">
        <f t="shared" ref="J54:R54" si="26">+SUBTOTAL(9, J51:J53)</f>
        <v>0</v>
      </c>
      <c r="K54" s="25">
        <f t="shared" si="26"/>
        <v>-2870040</v>
      </c>
      <c r="L54" s="25">
        <f t="shared" si="26"/>
        <v>-2870040</v>
      </c>
      <c r="M54" s="25">
        <f t="shared" si="26"/>
        <v>0</v>
      </c>
      <c r="N54" s="25">
        <f t="shared" si="26"/>
        <v>0</v>
      </c>
      <c r="O54" s="25">
        <f t="shared" si="26"/>
        <v>-2677839</v>
      </c>
      <c r="P54" s="25">
        <f t="shared" si="26"/>
        <v>0</v>
      </c>
      <c r="Q54" s="25">
        <f t="shared" si="26"/>
        <v>0</v>
      </c>
      <c r="R54" s="25">
        <f t="shared" si="26"/>
        <v>-5547879</v>
      </c>
    </row>
    <row r="55" spans="1:18" s="55" customFormat="1" ht="40.200000000000003" customHeight="1">
      <c r="A55" s="41" t="s">
        <v>231</v>
      </c>
      <c r="B55" s="69" t="s">
        <v>230</v>
      </c>
      <c r="C55" s="41" t="s">
        <v>53</v>
      </c>
      <c r="D55" s="40" t="s">
        <v>54</v>
      </c>
      <c r="E55" s="16" t="s">
        <v>25</v>
      </c>
      <c r="F55" s="16"/>
      <c r="G55" s="16"/>
      <c r="H55" s="99" t="s">
        <v>235</v>
      </c>
      <c r="I55" s="17">
        <v>0</v>
      </c>
      <c r="J55" s="17"/>
      <c r="K55" s="17">
        <v>-215000</v>
      </c>
      <c r="L55" s="17">
        <f>+I55+J55+K55</f>
        <v>-215000</v>
      </c>
      <c r="M55" s="17"/>
      <c r="N55" s="17"/>
      <c r="O55" s="17">
        <v>-146087</v>
      </c>
      <c r="P55" s="17">
        <v>-55000</v>
      </c>
      <c r="R55" s="17">
        <f t="shared" si="13"/>
        <v>-416087</v>
      </c>
    </row>
    <row r="56" spans="1:18" s="23" customFormat="1" ht="13.2">
      <c r="A56" s="70" t="s">
        <v>232</v>
      </c>
      <c r="B56" s="18"/>
      <c r="C56" s="12"/>
      <c r="D56" s="13"/>
      <c r="E56" s="12"/>
      <c r="F56" s="12"/>
      <c r="G56" s="12"/>
      <c r="H56" s="12"/>
      <c r="I56" s="25">
        <f>+SUBTOTAL(9, I55)</f>
        <v>0</v>
      </c>
      <c r="J56" s="25">
        <f t="shared" ref="J56:R56" si="27">+SUBTOTAL(9, J55)</f>
        <v>0</v>
      </c>
      <c r="K56" s="25">
        <f t="shared" si="27"/>
        <v>-215000</v>
      </c>
      <c r="L56" s="25">
        <f t="shared" si="27"/>
        <v>-215000</v>
      </c>
      <c r="M56" s="25">
        <f t="shared" si="27"/>
        <v>0</v>
      </c>
      <c r="N56" s="25">
        <f t="shared" si="27"/>
        <v>0</v>
      </c>
      <c r="O56" s="25">
        <f t="shared" si="27"/>
        <v>-146087</v>
      </c>
      <c r="P56" s="25">
        <f t="shared" si="27"/>
        <v>-55000</v>
      </c>
      <c r="Q56" s="25">
        <f t="shared" si="27"/>
        <v>0</v>
      </c>
      <c r="R56" s="25">
        <f t="shared" si="27"/>
        <v>-416087</v>
      </c>
    </row>
    <row r="57" spans="1:18" s="55" customFormat="1" ht="41.4" customHeight="1">
      <c r="A57" s="41" t="s">
        <v>185</v>
      </c>
      <c r="B57" s="68" t="s">
        <v>237</v>
      </c>
      <c r="C57" s="41" t="s">
        <v>53</v>
      </c>
      <c r="D57" s="40" t="s">
        <v>54</v>
      </c>
      <c r="E57" s="16" t="s">
        <v>25</v>
      </c>
      <c r="F57" s="16"/>
      <c r="G57" s="16"/>
      <c r="H57" s="99" t="s">
        <v>236</v>
      </c>
      <c r="I57" s="17">
        <v>0</v>
      </c>
      <c r="J57" s="17"/>
      <c r="K57" s="17">
        <v>-1000000</v>
      </c>
      <c r="L57" s="17">
        <f>+I57+J57+K57</f>
        <v>-1000000</v>
      </c>
      <c r="M57" s="17"/>
      <c r="N57" s="17"/>
      <c r="O57" s="17">
        <v>-97584</v>
      </c>
      <c r="P57" s="17"/>
      <c r="Q57" s="17"/>
      <c r="R57" s="17">
        <f t="shared" si="13"/>
        <v>-1097584</v>
      </c>
    </row>
    <row r="58" spans="1:18" s="55" customFormat="1" ht="41.4" customHeight="1">
      <c r="A58" s="41"/>
      <c r="B58" s="121"/>
      <c r="C58" s="41" t="s">
        <v>305</v>
      </c>
      <c r="D58" s="40" t="s">
        <v>306</v>
      </c>
      <c r="E58" s="41" t="s">
        <v>25</v>
      </c>
      <c r="F58" s="41" t="s">
        <v>187</v>
      </c>
      <c r="G58" s="41" t="s">
        <v>188</v>
      </c>
      <c r="H58" s="40" t="s">
        <v>307</v>
      </c>
      <c r="I58" s="17"/>
      <c r="J58" s="17"/>
      <c r="K58" s="17"/>
      <c r="L58" s="17"/>
      <c r="M58" s="17"/>
      <c r="N58" s="17"/>
      <c r="O58" s="17">
        <v>-50000</v>
      </c>
      <c r="P58" s="17"/>
      <c r="Q58" s="17"/>
      <c r="R58" s="17">
        <f t="shared" si="13"/>
        <v>-50000</v>
      </c>
    </row>
    <row r="59" spans="1:18" s="23" customFormat="1" ht="13.2">
      <c r="A59" s="42" t="s">
        <v>186</v>
      </c>
      <c r="B59" s="88"/>
      <c r="C59" s="12"/>
      <c r="D59" s="13"/>
      <c r="E59" s="12"/>
      <c r="F59" s="12"/>
      <c r="G59" s="12"/>
      <c r="H59" s="12"/>
      <c r="I59" s="25">
        <f t="shared" ref="I59:K59" si="28">+SUBTOTAL(9, I57:I58)</f>
        <v>0</v>
      </c>
      <c r="J59" s="25">
        <f t="shared" si="28"/>
        <v>0</v>
      </c>
      <c r="K59" s="25">
        <f t="shared" si="28"/>
        <v>-1000000</v>
      </c>
      <c r="L59" s="25">
        <f>+SUBTOTAL(9, L57:L58)</f>
        <v>-1000000</v>
      </c>
      <c r="M59" s="25">
        <f t="shared" ref="M59:R59" si="29">+SUBTOTAL(9, M57:M58)</f>
        <v>0</v>
      </c>
      <c r="N59" s="25">
        <f t="shared" si="29"/>
        <v>0</v>
      </c>
      <c r="O59" s="25">
        <f t="shared" si="29"/>
        <v>-147584</v>
      </c>
      <c r="P59" s="25">
        <f t="shared" si="29"/>
        <v>0</v>
      </c>
      <c r="Q59" s="25">
        <f t="shared" si="29"/>
        <v>0</v>
      </c>
      <c r="R59" s="25">
        <f t="shared" si="29"/>
        <v>-1147584</v>
      </c>
    </row>
    <row r="60" spans="1:18" s="56" customFormat="1" ht="26.4">
      <c r="A60" s="89" t="s">
        <v>243</v>
      </c>
      <c r="B60" s="68" t="s">
        <v>242</v>
      </c>
      <c r="C60" s="41" t="s">
        <v>53</v>
      </c>
      <c r="D60" s="40" t="s">
        <v>54</v>
      </c>
      <c r="E60" s="16" t="s">
        <v>25</v>
      </c>
      <c r="F60" s="101"/>
      <c r="G60" s="101"/>
      <c r="H60" s="16" t="s">
        <v>26</v>
      </c>
      <c r="I60" s="97"/>
      <c r="J60" s="97"/>
      <c r="K60" s="17">
        <v>-240000</v>
      </c>
      <c r="L60" s="17">
        <f>+I60+J60+K60</f>
        <v>-240000</v>
      </c>
      <c r="M60" s="97"/>
      <c r="N60" s="97"/>
      <c r="O60" s="97"/>
      <c r="P60" s="97"/>
      <c r="Q60" s="17"/>
      <c r="R60" s="17">
        <f t="shared" si="13"/>
        <v>-240000</v>
      </c>
    </row>
    <row r="61" spans="1:18" s="94" customFormat="1" ht="13.2">
      <c r="A61" s="92" t="s">
        <v>244</v>
      </c>
      <c r="B61" s="93"/>
      <c r="C61" s="28"/>
      <c r="D61" s="10"/>
      <c r="E61" s="28"/>
      <c r="F61" s="28"/>
      <c r="G61" s="28"/>
      <c r="H61" s="28"/>
      <c r="I61" s="103">
        <f>+SUBTOTAL(9, I60)</f>
        <v>0</v>
      </c>
      <c r="J61" s="103">
        <f t="shared" ref="J61:R61" si="30">+SUBTOTAL(9, J60)</f>
        <v>0</v>
      </c>
      <c r="K61" s="103">
        <f t="shared" si="30"/>
        <v>-240000</v>
      </c>
      <c r="L61" s="103">
        <f t="shared" si="30"/>
        <v>-240000</v>
      </c>
      <c r="M61" s="103">
        <f t="shared" si="30"/>
        <v>0</v>
      </c>
      <c r="N61" s="103">
        <f t="shared" si="30"/>
        <v>0</v>
      </c>
      <c r="O61" s="103">
        <f t="shared" si="30"/>
        <v>0</v>
      </c>
      <c r="P61" s="103">
        <f t="shared" si="30"/>
        <v>0</v>
      </c>
      <c r="Q61" s="103">
        <f t="shared" si="30"/>
        <v>0</v>
      </c>
      <c r="R61" s="103">
        <f t="shared" si="30"/>
        <v>-240000</v>
      </c>
    </row>
    <row r="62" spans="1:18" s="23" customFormat="1" ht="28.2" customHeight="1">
      <c r="A62" s="40"/>
      <c r="B62" s="79" t="s">
        <v>52</v>
      </c>
      <c r="C62" s="41" t="s">
        <v>53</v>
      </c>
      <c r="D62" s="40" t="s">
        <v>54</v>
      </c>
      <c r="E62" s="16" t="s">
        <v>25</v>
      </c>
      <c r="F62" s="16"/>
      <c r="G62" s="16"/>
      <c r="H62" s="15" t="s">
        <v>219</v>
      </c>
      <c r="I62" s="17">
        <v>-2215000</v>
      </c>
      <c r="J62" s="17"/>
      <c r="K62" s="17">
        <v>2215000</v>
      </c>
      <c r="L62" s="17">
        <f t="shared" ref="L62:L65" si="31">+I62+J62+K62</f>
        <v>0</v>
      </c>
      <c r="M62" s="97"/>
      <c r="N62" s="97"/>
      <c r="O62" s="97"/>
      <c r="P62" s="97"/>
      <c r="Q62" s="97"/>
      <c r="R62" s="17">
        <f t="shared" si="13"/>
        <v>0</v>
      </c>
    </row>
    <row r="63" spans="1:18" s="63" customFormat="1" ht="43.5" customHeight="1">
      <c r="A63" s="58"/>
      <c r="B63" s="95" t="s">
        <v>238</v>
      </c>
      <c r="C63" s="58" t="s">
        <v>53</v>
      </c>
      <c r="D63" s="57" t="s">
        <v>54</v>
      </c>
      <c r="E63" s="27" t="s">
        <v>25</v>
      </c>
      <c r="F63" s="27"/>
      <c r="G63" s="27"/>
      <c r="H63" s="99" t="s">
        <v>241</v>
      </c>
      <c r="I63" s="104">
        <f>-3767895-7801000-15760256</f>
        <v>-27329151</v>
      </c>
      <c r="J63" s="104"/>
      <c r="K63" s="104">
        <f>367000+20096540-1000000+240000</f>
        <v>19703540</v>
      </c>
      <c r="L63" s="104">
        <f t="shared" si="31"/>
        <v>-7625611</v>
      </c>
      <c r="M63" s="104"/>
      <c r="N63" s="104"/>
      <c r="O63" s="104"/>
      <c r="P63" s="104">
        <f>3301818+240000+55000</f>
        <v>3596818</v>
      </c>
      <c r="Q63" s="104">
        <v>218465.00002000001</v>
      </c>
      <c r="R63" s="17">
        <f t="shared" si="13"/>
        <v>-3810327.9999799998</v>
      </c>
    </row>
    <row r="64" spans="1:18" s="55" customFormat="1" ht="31.95" customHeight="1">
      <c r="A64" s="41"/>
      <c r="B64" s="77" t="s">
        <v>216</v>
      </c>
      <c r="C64" s="41" t="s">
        <v>53</v>
      </c>
      <c r="D64" s="40" t="s">
        <v>54</v>
      </c>
      <c r="E64" s="16" t="s">
        <v>25</v>
      </c>
      <c r="F64" s="16" t="s">
        <v>65</v>
      </c>
      <c r="G64" s="16" t="s">
        <v>66</v>
      </c>
      <c r="H64" s="15" t="s">
        <v>241</v>
      </c>
      <c r="I64" s="100">
        <v>-1000000</v>
      </c>
      <c r="J64" s="100"/>
      <c r="K64" s="100">
        <v>1000000</v>
      </c>
      <c r="L64" s="17">
        <f>+I64+J64+K64</f>
        <v>0</v>
      </c>
      <c r="M64" s="17"/>
      <c r="N64" s="17"/>
      <c r="O64" s="17"/>
      <c r="P64" s="17"/>
      <c r="Q64" s="17"/>
      <c r="R64" s="17">
        <f t="shared" si="13"/>
        <v>0</v>
      </c>
    </row>
    <row r="65" spans="1:18" s="55" customFormat="1" ht="30" customHeight="1">
      <c r="A65" s="41"/>
      <c r="B65" s="79" t="s">
        <v>239</v>
      </c>
      <c r="C65" s="41" t="s">
        <v>55</v>
      </c>
      <c r="D65" s="40" t="s">
        <v>56</v>
      </c>
      <c r="E65" s="16"/>
      <c r="F65" s="16"/>
      <c r="G65" s="16"/>
      <c r="H65" s="15" t="s">
        <v>241</v>
      </c>
      <c r="I65" s="100">
        <f>-283605-100000+100000</f>
        <v>-283605</v>
      </c>
      <c r="J65" s="100"/>
      <c r="K65" s="100"/>
      <c r="L65" s="17">
        <f t="shared" si="31"/>
        <v>-283605</v>
      </c>
      <c r="M65" s="17"/>
      <c r="N65" s="17"/>
      <c r="O65" s="17"/>
      <c r="P65" s="17"/>
      <c r="Q65" s="17"/>
      <c r="R65" s="17">
        <f t="shared" si="13"/>
        <v>-283605</v>
      </c>
    </row>
    <row r="66" spans="1:18" s="23" customFormat="1" ht="13.2">
      <c r="A66" s="29" t="s">
        <v>57</v>
      </c>
      <c r="B66" s="78"/>
      <c r="C66" s="30"/>
      <c r="D66" s="13"/>
      <c r="E66" s="12"/>
      <c r="F66" s="12"/>
      <c r="G66" s="12"/>
      <c r="H66" s="12"/>
      <c r="I66" s="25">
        <f>+SUBTOTAL(9, I62:I65)</f>
        <v>-30827756</v>
      </c>
      <c r="J66" s="25">
        <f t="shared" ref="J66:R66" si="32">+SUBTOTAL(9, J62:J65)</f>
        <v>0</v>
      </c>
      <c r="K66" s="25">
        <f t="shared" si="32"/>
        <v>22918540</v>
      </c>
      <c r="L66" s="25">
        <f t="shared" si="32"/>
        <v>-7909216</v>
      </c>
      <c r="M66" s="25">
        <f t="shared" si="32"/>
        <v>0</v>
      </c>
      <c r="N66" s="25">
        <f t="shared" si="32"/>
        <v>0</v>
      </c>
      <c r="O66" s="25">
        <f t="shared" si="32"/>
        <v>0</v>
      </c>
      <c r="P66" s="25">
        <f t="shared" si="32"/>
        <v>3596818</v>
      </c>
      <c r="Q66" s="25">
        <f t="shared" si="32"/>
        <v>218465.00002000001</v>
      </c>
      <c r="R66" s="25">
        <f t="shared" si="32"/>
        <v>-4093932.9999799998</v>
      </c>
    </row>
    <row r="67" spans="1:18" s="55" customFormat="1" ht="33.75" customHeight="1">
      <c r="A67" s="41" t="s">
        <v>58</v>
      </c>
      <c r="B67" s="90" t="s">
        <v>170</v>
      </c>
      <c r="C67" s="41" t="s">
        <v>59</v>
      </c>
      <c r="D67" s="40" t="s">
        <v>60</v>
      </c>
      <c r="E67" s="16" t="s">
        <v>25</v>
      </c>
      <c r="F67" s="16" t="s">
        <v>61</v>
      </c>
      <c r="G67" s="16" t="s">
        <v>62</v>
      </c>
      <c r="H67" s="16" t="s">
        <v>45</v>
      </c>
      <c r="I67" s="17">
        <v>-357999.99900000001</v>
      </c>
      <c r="J67" s="17"/>
      <c r="K67" s="17"/>
      <c r="L67" s="17">
        <f t="shared" ref="L67:L92" si="33">+I67+J67+K67</f>
        <v>-357999.99900000001</v>
      </c>
      <c r="M67" s="17"/>
      <c r="N67" s="17"/>
      <c r="O67" s="17"/>
      <c r="P67" s="17"/>
      <c r="Q67" s="17">
        <v>358000.00001000002</v>
      </c>
      <c r="R67" s="17">
        <f t="shared" si="13"/>
        <v>1.0100000072270632E-3</v>
      </c>
    </row>
    <row r="68" spans="1:18" s="55" customFormat="1" ht="27.75" customHeight="1">
      <c r="A68" s="41"/>
      <c r="B68" s="90" t="s">
        <v>170</v>
      </c>
      <c r="C68" s="41" t="s">
        <v>72</v>
      </c>
      <c r="D68" s="40" t="s">
        <v>73</v>
      </c>
      <c r="E68" s="16" t="s">
        <v>25</v>
      </c>
      <c r="F68" s="16" t="s">
        <v>61</v>
      </c>
      <c r="G68" s="16" t="s">
        <v>62</v>
      </c>
      <c r="H68" s="16" t="s">
        <v>45</v>
      </c>
      <c r="I68" s="17">
        <v>0</v>
      </c>
      <c r="J68" s="17">
        <v>-15000000</v>
      </c>
      <c r="K68" s="17"/>
      <c r="L68" s="17">
        <f t="shared" si="33"/>
        <v>-15000000</v>
      </c>
      <c r="M68" s="17"/>
      <c r="N68" s="17"/>
      <c r="O68" s="17">
        <f>916631-289627</f>
        <v>627004</v>
      </c>
      <c r="P68" s="17"/>
      <c r="Q68" s="17"/>
      <c r="R68" s="17">
        <f t="shared" si="13"/>
        <v>-14372996</v>
      </c>
    </row>
    <row r="69" spans="1:18" s="55" customFormat="1" ht="29.25" customHeight="1">
      <c r="A69" s="41"/>
      <c r="B69" s="77" t="s">
        <v>63</v>
      </c>
      <c r="C69" s="41" t="s">
        <v>59</v>
      </c>
      <c r="D69" s="40" t="s">
        <v>60</v>
      </c>
      <c r="E69" s="16" t="s">
        <v>25</v>
      </c>
      <c r="F69" s="16"/>
      <c r="G69" s="16"/>
      <c r="H69" s="15" t="s">
        <v>200</v>
      </c>
      <c r="I69" s="17">
        <f>-25176-72540</f>
        <v>-97716</v>
      </c>
      <c r="J69" s="17"/>
      <c r="K69" s="17"/>
      <c r="L69" s="17">
        <f t="shared" si="33"/>
        <v>-97716</v>
      </c>
      <c r="M69" s="17"/>
      <c r="N69" s="17"/>
      <c r="O69" s="17"/>
      <c r="P69" s="17">
        <v>25176</v>
      </c>
      <c r="Q69" s="17">
        <v>72540.000020000007</v>
      </c>
      <c r="R69" s="17">
        <f t="shared" si="13"/>
        <v>2.0000006770715117E-5</v>
      </c>
    </row>
    <row r="70" spans="1:18" s="55" customFormat="1" ht="14.1" customHeight="1">
      <c r="A70" s="41"/>
      <c r="B70" s="77" t="s">
        <v>64</v>
      </c>
      <c r="C70" s="41" t="s">
        <v>59</v>
      </c>
      <c r="D70" s="40" t="s">
        <v>60</v>
      </c>
      <c r="E70" s="16" t="s">
        <v>25</v>
      </c>
      <c r="F70" s="16"/>
      <c r="G70" s="16"/>
      <c r="H70" s="15" t="s">
        <v>201</v>
      </c>
      <c r="I70" s="17">
        <v>-58147.714282857138</v>
      </c>
      <c r="J70" s="17"/>
      <c r="K70" s="17"/>
      <c r="L70" s="17">
        <f t="shared" si="33"/>
        <v>-58147.714282857138</v>
      </c>
      <c r="M70" s="17"/>
      <c r="N70" s="17"/>
      <c r="O70" s="17"/>
      <c r="P70" s="17"/>
      <c r="Q70" s="17"/>
      <c r="R70" s="17">
        <f t="shared" si="13"/>
        <v>-58147.714282857138</v>
      </c>
    </row>
    <row r="71" spans="1:18" s="55" customFormat="1" ht="26.4">
      <c r="A71" s="41"/>
      <c r="B71" s="77"/>
      <c r="C71" s="41" t="s">
        <v>181</v>
      </c>
      <c r="D71" s="40" t="s">
        <v>182</v>
      </c>
      <c r="E71" s="41" t="s">
        <v>25</v>
      </c>
      <c r="F71" s="41" t="s">
        <v>187</v>
      </c>
      <c r="G71" s="41" t="s">
        <v>188</v>
      </c>
      <c r="H71" s="40" t="s">
        <v>304</v>
      </c>
      <c r="I71" s="17">
        <v>0</v>
      </c>
      <c r="J71" s="17"/>
      <c r="K71" s="17"/>
      <c r="L71" s="17">
        <f t="shared" si="33"/>
        <v>0</v>
      </c>
      <c r="M71" s="17"/>
      <c r="N71" s="17"/>
      <c r="O71" s="17">
        <v>-95076</v>
      </c>
      <c r="P71" s="17"/>
      <c r="Q71" s="17"/>
      <c r="R71" s="17">
        <f t="shared" si="13"/>
        <v>-95076</v>
      </c>
    </row>
    <row r="72" spans="1:18" s="55" customFormat="1" ht="31.2" customHeight="1">
      <c r="A72" s="41"/>
      <c r="B72" s="116" t="s">
        <v>291</v>
      </c>
      <c r="C72" s="41" t="s">
        <v>53</v>
      </c>
      <c r="D72" s="40" t="s">
        <v>54</v>
      </c>
      <c r="E72" s="16" t="s">
        <v>25</v>
      </c>
      <c r="F72" s="16" t="s">
        <v>65</v>
      </c>
      <c r="G72" s="16" t="s">
        <v>66</v>
      </c>
      <c r="H72" s="15" t="s">
        <v>290</v>
      </c>
      <c r="I72" s="17"/>
      <c r="J72" s="17"/>
      <c r="K72" s="17"/>
      <c r="L72" s="17">
        <v>0</v>
      </c>
      <c r="M72" s="17"/>
      <c r="N72" s="17"/>
      <c r="O72" s="17">
        <v>-257500</v>
      </c>
      <c r="P72" s="17"/>
      <c r="Q72" s="17"/>
      <c r="R72" s="17">
        <f t="shared" si="13"/>
        <v>-257500</v>
      </c>
    </row>
    <row r="73" spans="1:18" s="55" customFormat="1" ht="32.4" customHeight="1">
      <c r="A73" s="41"/>
      <c r="B73" s="86" t="s">
        <v>287</v>
      </c>
      <c r="C73" s="41" t="s">
        <v>53</v>
      </c>
      <c r="D73" s="40" t="s">
        <v>54</v>
      </c>
      <c r="E73" s="16" t="s">
        <v>25</v>
      </c>
      <c r="F73" s="16"/>
      <c r="G73" s="16"/>
      <c r="H73" s="15" t="s">
        <v>202</v>
      </c>
      <c r="I73" s="104">
        <f>-883867-400000-14920000-242000</f>
        <v>-16445867</v>
      </c>
      <c r="J73" s="104"/>
      <c r="K73" s="104">
        <f>-138000-367000-7001500</f>
        <v>-7506500</v>
      </c>
      <c r="L73" s="17">
        <f t="shared" si="33"/>
        <v>-23952367</v>
      </c>
      <c r="M73" s="17"/>
      <c r="N73" s="17"/>
      <c r="O73" s="17">
        <f>-470186-82654-93402-1031588-315682-700000-304006</f>
        <v>-2997518</v>
      </c>
      <c r="P73" s="17">
        <f>883867-3301818-240000</f>
        <v>-2657951</v>
      </c>
      <c r="Q73" s="17"/>
      <c r="R73" s="17">
        <f t="shared" si="13"/>
        <v>-29607836</v>
      </c>
    </row>
    <row r="74" spans="1:18" s="55" customFormat="1" ht="30" customHeight="1">
      <c r="A74" s="41"/>
      <c r="B74" s="77" t="s">
        <v>67</v>
      </c>
      <c r="C74" s="41" t="s">
        <v>53</v>
      </c>
      <c r="D74" s="40" t="s">
        <v>54</v>
      </c>
      <c r="E74" s="16" t="s">
        <v>25</v>
      </c>
      <c r="F74" s="16"/>
      <c r="G74" s="16"/>
      <c r="H74" s="15" t="s">
        <v>201</v>
      </c>
      <c r="I74" s="17">
        <v>-918229.30059200001</v>
      </c>
      <c r="J74" s="17"/>
      <c r="K74" s="17"/>
      <c r="L74" s="17">
        <f t="shared" si="33"/>
        <v>-918229.30059200001</v>
      </c>
      <c r="M74" s="17"/>
      <c r="N74" s="17"/>
      <c r="O74" s="17"/>
      <c r="P74" s="17"/>
      <c r="Q74" s="17"/>
      <c r="R74" s="17">
        <f t="shared" si="13"/>
        <v>-918229.30059200001</v>
      </c>
    </row>
    <row r="75" spans="1:18" s="55" customFormat="1" ht="39.6" customHeight="1">
      <c r="A75" s="41"/>
      <c r="B75" s="87" t="s">
        <v>68</v>
      </c>
      <c r="C75" s="41" t="s">
        <v>69</v>
      </c>
      <c r="D75" s="40" t="s">
        <v>70</v>
      </c>
      <c r="E75" s="16" t="s">
        <v>25</v>
      </c>
      <c r="F75" s="16" t="s">
        <v>19</v>
      </c>
      <c r="G75" s="16" t="s">
        <v>19</v>
      </c>
      <c r="H75" s="15" t="s">
        <v>203</v>
      </c>
      <c r="I75" s="100">
        <v>-170000</v>
      </c>
      <c r="J75" s="100"/>
      <c r="K75" s="100"/>
      <c r="L75" s="17">
        <f t="shared" si="33"/>
        <v>-170000</v>
      </c>
      <c r="M75" s="17"/>
      <c r="N75" s="17"/>
      <c r="O75" s="17">
        <v>-170000</v>
      </c>
      <c r="P75" s="17"/>
      <c r="Q75" s="17">
        <v>90000.000010000003</v>
      </c>
      <c r="R75" s="17">
        <f t="shared" si="13"/>
        <v>-249999.99998999998</v>
      </c>
    </row>
    <row r="76" spans="1:18" s="55" customFormat="1" ht="40.950000000000003" customHeight="1">
      <c r="A76" s="41"/>
      <c r="B76" s="77" t="s">
        <v>64</v>
      </c>
      <c r="C76" s="41" t="s">
        <v>69</v>
      </c>
      <c r="D76" s="40" t="s">
        <v>70</v>
      </c>
      <c r="E76" s="16" t="s">
        <v>25</v>
      </c>
      <c r="F76" s="16" t="s">
        <v>19</v>
      </c>
      <c r="G76" s="16" t="s">
        <v>19</v>
      </c>
      <c r="H76" s="15" t="s">
        <v>201</v>
      </c>
      <c r="I76" s="100">
        <v>-58147.714282857138</v>
      </c>
      <c r="J76" s="100"/>
      <c r="K76" s="100"/>
      <c r="L76" s="17">
        <f t="shared" si="33"/>
        <v>-58147.714282857138</v>
      </c>
      <c r="M76" s="17"/>
      <c r="N76" s="17"/>
      <c r="O76" s="17"/>
      <c r="P76" s="17"/>
      <c r="Q76" s="17"/>
      <c r="R76" s="17">
        <f t="shared" si="13"/>
        <v>-58147.714282857138</v>
      </c>
    </row>
    <row r="77" spans="1:18" s="55" customFormat="1" ht="24">
      <c r="A77" s="41"/>
      <c r="B77" s="77" t="s">
        <v>71</v>
      </c>
      <c r="C77" s="41" t="s">
        <v>72</v>
      </c>
      <c r="D77" s="40" t="s">
        <v>73</v>
      </c>
      <c r="E77" s="16" t="s">
        <v>25</v>
      </c>
      <c r="F77" s="16" t="s">
        <v>74</v>
      </c>
      <c r="G77" s="16" t="s">
        <v>75</v>
      </c>
      <c r="H77" s="16" t="s">
        <v>45</v>
      </c>
      <c r="I77" s="17">
        <v>-3040000</v>
      </c>
      <c r="J77" s="17"/>
      <c r="K77" s="17"/>
      <c r="L77" s="17">
        <f t="shared" si="33"/>
        <v>-3040000</v>
      </c>
      <c r="M77" s="17"/>
      <c r="N77" s="17"/>
      <c r="O77" s="17">
        <v>-1006630</v>
      </c>
      <c r="P77" s="17"/>
      <c r="Q77" s="17">
        <v>2090816.0000100001</v>
      </c>
      <c r="R77" s="17">
        <f t="shared" si="13"/>
        <v>-1955813.9999899999</v>
      </c>
    </row>
    <row r="78" spans="1:18" s="55" customFormat="1" ht="13.2">
      <c r="A78" s="41"/>
      <c r="B78" s="77" t="s">
        <v>171</v>
      </c>
      <c r="C78" s="41" t="s">
        <v>72</v>
      </c>
      <c r="D78" s="40" t="s">
        <v>73</v>
      </c>
      <c r="E78" s="16" t="s">
        <v>25</v>
      </c>
      <c r="F78" s="16" t="s">
        <v>172</v>
      </c>
      <c r="G78" s="16" t="s">
        <v>173</v>
      </c>
      <c r="H78" s="16" t="s">
        <v>45</v>
      </c>
      <c r="I78" s="17">
        <v>0</v>
      </c>
      <c r="J78" s="17">
        <v>-1400000</v>
      </c>
      <c r="K78" s="17"/>
      <c r="L78" s="17">
        <f t="shared" si="33"/>
        <v>-1400000</v>
      </c>
      <c r="M78" s="17"/>
      <c r="N78" s="17"/>
      <c r="O78" s="17"/>
      <c r="P78" s="17"/>
      <c r="Q78" s="17"/>
      <c r="R78" s="17">
        <f t="shared" si="13"/>
        <v>-1400000</v>
      </c>
    </row>
    <row r="79" spans="1:18" s="55" customFormat="1" ht="27.75" customHeight="1">
      <c r="A79" s="41"/>
      <c r="B79" s="77" t="s">
        <v>76</v>
      </c>
      <c r="C79" s="41" t="s">
        <v>72</v>
      </c>
      <c r="D79" s="40" t="s">
        <v>73</v>
      </c>
      <c r="E79" s="16" t="s">
        <v>25</v>
      </c>
      <c r="F79" s="16" t="s">
        <v>19</v>
      </c>
      <c r="G79" s="16" t="s">
        <v>19</v>
      </c>
      <c r="H79" s="15" t="s">
        <v>204</v>
      </c>
      <c r="I79" s="17">
        <f>-160000-549460</f>
        <v>-709460</v>
      </c>
      <c r="J79" s="17"/>
      <c r="K79" s="17"/>
      <c r="L79" s="17">
        <f t="shared" si="33"/>
        <v>-709460</v>
      </c>
      <c r="M79" s="17"/>
      <c r="N79" s="17"/>
      <c r="O79" s="17">
        <f>-11610-1-832388</f>
        <v>-843999</v>
      </c>
      <c r="P79" s="17"/>
      <c r="Q79" s="17">
        <f>80000.00001+549460-40000</f>
        <v>589460.00000999996</v>
      </c>
      <c r="R79" s="17">
        <f t="shared" si="13"/>
        <v>-963998.99999000004</v>
      </c>
    </row>
    <row r="80" spans="1:18" s="55" customFormat="1" ht="29.25" customHeight="1">
      <c r="A80" s="41"/>
      <c r="B80" s="77" t="s">
        <v>77</v>
      </c>
      <c r="C80" s="41" t="s">
        <v>72</v>
      </c>
      <c r="D80" s="40" t="s">
        <v>73</v>
      </c>
      <c r="E80" s="16" t="s">
        <v>25</v>
      </c>
      <c r="F80" s="16" t="s">
        <v>19</v>
      </c>
      <c r="G80" s="16" t="s">
        <v>19</v>
      </c>
      <c r="H80" s="15" t="s">
        <v>201</v>
      </c>
      <c r="I80" s="17">
        <v>-290738.57141428569</v>
      </c>
      <c r="J80" s="17"/>
      <c r="K80" s="17"/>
      <c r="L80" s="17">
        <f t="shared" si="33"/>
        <v>-290738.57141428569</v>
      </c>
      <c r="M80" s="17"/>
      <c r="N80" s="17"/>
      <c r="O80" s="17"/>
      <c r="P80" s="17"/>
      <c r="Q80" s="17"/>
      <c r="R80" s="17">
        <f t="shared" si="13"/>
        <v>-290738.57141428569</v>
      </c>
    </row>
    <row r="81" spans="1:18" s="55" customFormat="1" ht="14.4" customHeight="1">
      <c r="A81" s="41"/>
      <c r="B81" s="77" t="s">
        <v>240</v>
      </c>
      <c r="C81" s="41" t="s">
        <v>72</v>
      </c>
      <c r="D81" s="40" t="s">
        <v>73</v>
      </c>
      <c r="E81" s="16" t="s">
        <v>25</v>
      </c>
      <c r="F81" s="16" t="s">
        <v>168</v>
      </c>
      <c r="G81" s="16" t="s">
        <v>169</v>
      </c>
      <c r="H81" s="15" t="s">
        <v>26</v>
      </c>
      <c r="I81" s="17">
        <v>0</v>
      </c>
      <c r="J81" s="17">
        <v>-1952754</v>
      </c>
      <c r="K81" s="17"/>
      <c r="L81" s="17">
        <f t="shared" si="33"/>
        <v>-1952754</v>
      </c>
      <c r="M81" s="17"/>
      <c r="N81" s="17"/>
      <c r="O81" s="17">
        <v>-1</v>
      </c>
      <c r="P81" s="17"/>
      <c r="Q81" s="17"/>
      <c r="R81" s="17">
        <f t="shared" si="13"/>
        <v>-1952755</v>
      </c>
    </row>
    <row r="82" spans="1:18" s="55" customFormat="1" ht="14.4" customHeight="1">
      <c r="A82" s="41"/>
      <c r="B82" s="77" t="s">
        <v>240</v>
      </c>
      <c r="C82" s="41" t="s">
        <v>72</v>
      </c>
      <c r="D82" s="40" t="s">
        <v>73</v>
      </c>
      <c r="E82" s="16" t="s">
        <v>25</v>
      </c>
      <c r="F82" s="16" t="s">
        <v>78</v>
      </c>
      <c r="G82" s="16" t="s">
        <v>79</v>
      </c>
      <c r="H82" s="15" t="s">
        <v>26</v>
      </c>
      <c r="I82" s="17">
        <v>-5000000</v>
      </c>
      <c r="J82" s="17"/>
      <c r="K82" s="17"/>
      <c r="L82" s="17">
        <f t="shared" si="33"/>
        <v>-5000000</v>
      </c>
      <c r="M82" s="17"/>
      <c r="N82" s="17"/>
      <c r="O82" s="17"/>
      <c r="P82" s="17"/>
      <c r="Q82" s="17">
        <v>5000000.0000099996</v>
      </c>
      <c r="R82" s="17">
        <f t="shared" si="13"/>
        <v>9.9996104836463928E-6</v>
      </c>
    </row>
    <row r="83" spans="1:18" s="55" customFormat="1" ht="14.4" customHeight="1">
      <c r="A83" s="41"/>
      <c r="B83" s="77" t="s">
        <v>289</v>
      </c>
      <c r="C83" s="41" t="s">
        <v>72</v>
      </c>
      <c r="D83" s="40" t="s">
        <v>73</v>
      </c>
      <c r="E83" s="16" t="s">
        <v>25</v>
      </c>
      <c r="F83" s="16" t="s">
        <v>83</v>
      </c>
      <c r="G83" s="16" t="s">
        <v>84</v>
      </c>
      <c r="H83" s="15" t="s">
        <v>205</v>
      </c>
      <c r="I83" s="17"/>
      <c r="J83" s="17"/>
      <c r="K83" s="17"/>
      <c r="L83" s="17">
        <v>0</v>
      </c>
      <c r="M83" s="17"/>
      <c r="N83" s="17"/>
      <c r="O83" s="17">
        <v>-35865</v>
      </c>
      <c r="P83" s="17"/>
      <c r="Q83" s="17"/>
      <c r="R83" s="17">
        <f t="shared" si="13"/>
        <v>-35865</v>
      </c>
    </row>
    <row r="84" spans="1:18" s="55" customFormat="1" ht="29.25" customHeight="1">
      <c r="A84" s="41"/>
      <c r="B84" s="77" t="s">
        <v>80</v>
      </c>
      <c r="C84" s="41" t="s">
        <v>81</v>
      </c>
      <c r="D84" s="40" t="s">
        <v>82</v>
      </c>
      <c r="E84" s="16" t="s">
        <v>25</v>
      </c>
      <c r="F84" s="16" t="s">
        <v>83</v>
      </c>
      <c r="G84" s="16" t="s">
        <v>84</v>
      </c>
      <c r="H84" s="15" t="s">
        <v>205</v>
      </c>
      <c r="I84" s="17">
        <v>-599.04999999999984</v>
      </c>
      <c r="J84" s="17"/>
      <c r="K84" s="17"/>
      <c r="L84" s="17">
        <f t="shared" si="33"/>
        <v>-599.04999999999984</v>
      </c>
      <c r="M84" s="17"/>
      <c r="N84" s="17"/>
      <c r="O84" s="17"/>
      <c r="P84" s="17"/>
      <c r="Q84" s="17"/>
      <c r="R84" s="17">
        <f t="shared" ref="R84:R146" si="34">SUM(L84:Q84)</f>
        <v>-599.04999999999984</v>
      </c>
    </row>
    <row r="85" spans="1:18" s="55" customFormat="1" ht="26.4">
      <c r="A85" s="41"/>
      <c r="B85" s="77" t="s">
        <v>85</v>
      </c>
      <c r="C85" s="41" t="s">
        <v>81</v>
      </c>
      <c r="D85" s="40" t="s">
        <v>82</v>
      </c>
      <c r="E85" s="16" t="s">
        <v>25</v>
      </c>
      <c r="F85" s="16"/>
      <c r="G85" s="16"/>
      <c r="H85" s="15" t="s">
        <v>206</v>
      </c>
      <c r="I85" s="17">
        <f>-6500000-1600000</f>
        <v>-8100000</v>
      </c>
      <c r="J85" s="17"/>
      <c r="K85" s="17"/>
      <c r="L85" s="17">
        <f t="shared" si="33"/>
        <v>-8100000</v>
      </c>
      <c r="M85" s="17"/>
      <c r="N85" s="17"/>
      <c r="O85" s="17">
        <f>-558053-612207+20000</f>
        <v>-1150260</v>
      </c>
      <c r="P85" s="17"/>
      <c r="Q85" s="17"/>
      <c r="R85" s="17">
        <f t="shared" si="34"/>
        <v>-9250260</v>
      </c>
    </row>
    <row r="86" spans="1:18" s="55" customFormat="1" ht="26.4">
      <c r="A86" s="41"/>
      <c r="B86" s="77" t="s">
        <v>67</v>
      </c>
      <c r="C86" s="41" t="s">
        <v>81</v>
      </c>
      <c r="D86" s="40" t="s">
        <v>82</v>
      </c>
      <c r="E86" s="16" t="s">
        <v>25</v>
      </c>
      <c r="F86" s="16"/>
      <c r="G86" s="16"/>
      <c r="H86" s="15" t="s">
        <v>201</v>
      </c>
      <c r="I86" s="17">
        <v>-918229</v>
      </c>
      <c r="J86" s="17"/>
      <c r="K86" s="17"/>
      <c r="L86" s="17">
        <f t="shared" si="33"/>
        <v>-918229</v>
      </c>
      <c r="M86" s="17"/>
      <c r="N86" s="17"/>
      <c r="O86" s="17"/>
      <c r="P86" s="17"/>
      <c r="Q86" s="17"/>
      <c r="R86" s="17">
        <f t="shared" si="34"/>
        <v>-918229</v>
      </c>
    </row>
    <row r="87" spans="1:18" s="55" customFormat="1" ht="29.25" customHeight="1">
      <c r="A87" s="41"/>
      <c r="B87" s="77" t="s">
        <v>80</v>
      </c>
      <c r="C87" s="41" t="s">
        <v>86</v>
      </c>
      <c r="D87" s="40" t="s">
        <v>87</v>
      </c>
      <c r="E87" s="16" t="s">
        <v>25</v>
      </c>
      <c r="F87" s="16" t="s">
        <v>83</v>
      </c>
      <c r="G87" s="16" t="s">
        <v>84</v>
      </c>
      <c r="H87" s="15" t="s">
        <v>205</v>
      </c>
      <c r="I87" s="17">
        <v>-23362.95</v>
      </c>
      <c r="J87" s="17"/>
      <c r="K87" s="17"/>
      <c r="L87" s="17">
        <f t="shared" si="33"/>
        <v>-23362.95</v>
      </c>
      <c r="M87" s="17"/>
      <c r="N87" s="17"/>
      <c r="O87" s="17">
        <v>-50</v>
      </c>
      <c r="P87" s="17"/>
      <c r="Q87" s="17"/>
      <c r="R87" s="17">
        <f t="shared" si="34"/>
        <v>-23412.95</v>
      </c>
    </row>
    <row r="88" spans="1:18" s="55" customFormat="1" ht="36">
      <c r="A88" s="41"/>
      <c r="B88" s="77" t="s">
        <v>288</v>
      </c>
      <c r="C88" s="41" t="s">
        <v>86</v>
      </c>
      <c r="D88" s="40" t="s">
        <v>87</v>
      </c>
      <c r="E88" s="16" t="s">
        <v>25</v>
      </c>
      <c r="F88" s="16"/>
      <c r="G88" s="16"/>
      <c r="H88" s="15" t="s">
        <v>207</v>
      </c>
      <c r="I88" s="17">
        <f>-12913123-471996-386899</f>
        <v>-13772018</v>
      </c>
      <c r="J88" s="17"/>
      <c r="K88" s="17">
        <f>138000+75000</f>
        <v>213000</v>
      </c>
      <c r="L88" s="17">
        <f t="shared" si="33"/>
        <v>-13559018</v>
      </c>
      <c r="M88" s="17"/>
      <c r="N88" s="17"/>
      <c r="O88" s="17">
        <f>-97364-7600-5749199-117450-1000000-1550000</f>
        <v>-8521613</v>
      </c>
      <c r="P88" s="17">
        <f>-75000+25000</f>
        <v>-50000</v>
      </c>
      <c r="Q88" s="17"/>
      <c r="R88" s="17">
        <f t="shared" si="34"/>
        <v>-22130631</v>
      </c>
    </row>
    <row r="89" spans="1:18" s="55" customFormat="1" ht="26.4">
      <c r="A89" s="41"/>
      <c r="B89" s="77" t="s">
        <v>67</v>
      </c>
      <c r="C89" s="41" t="s">
        <v>86</v>
      </c>
      <c r="D89" s="40" t="s">
        <v>87</v>
      </c>
      <c r="E89" s="16" t="s">
        <v>25</v>
      </c>
      <c r="F89" s="16" t="s">
        <v>19</v>
      </c>
      <c r="G89" s="16" t="s">
        <v>19</v>
      </c>
      <c r="H89" s="15" t="s">
        <v>201</v>
      </c>
      <c r="I89" s="17">
        <v>-1836459</v>
      </c>
      <c r="J89" s="17"/>
      <c r="K89" s="17"/>
      <c r="L89" s="17">
        <f t="shared" si="33"/>
        <v>-1836459</v>
      </c>
      <c r="M89" s="17"/>
      <c r="N89" s="17"/>
      <c r="O89" s="17"/>
      <c r="P89" s="17"/>
      <c r="Q89" s="17"/>
      <c r="R89" s="17">
        <f t="shared" si="34"/>
        <v>-1836459</v>
      </c>
    </row>
    <row r="90" spans="1:18" s="55" customFormat="1" ht="42" customHeight="1">
      <c r="A90" s="41"/>
      <c r="B90" s="77" t="s">
        <v>88</v>
      </c>
      <c r="C90" s="41" t="s">
        <v>89</v>
      </c>
      <c r="D90" s="40" t="s">
        <v>90</v>
      </c>
      <c r="E90" s="16" t="s">
        <v>25</v>
      </c>
      <c r="F90" s="16" t="s">
        <v>91</v>
      </c>
      <c r="G90" s="16" t="s">
        <v>92</v>
      </c>
      <c r="H90" s="16" t="s">
        <v>45</v>
      </c>
      <c r="I90" s="17">
        <v>-2500000</v>
      </c>
      <c r="J90" s="17"/>
      <c r="K90" s="17"/>
      <c r="L90" s="17">
        <f t="shared" si="33"/>
        <v>-2500000</v>
      </c>
      <c r="M90" s="17"/>
      <c r="N90" s="17"/>
      <c r="O90" s="17">
        <v>-2500000</v>
      </c>
      <c r="P90" s="17"/>
      <c r="Q90" s="17"/>
      <c r="R90" s="17">
        <f t="shared" si="34"/>
        <v>-5000000</v>
      </c>
    </row>
    <row r="91" spans="1:18" s="55" customFormat="1" ht="42.75" customHeight="1">
      <c r="A91" s="41"/>
      <c r="B91" s="77" t="s">
        <v>93</v>
      </c>
      <c r="C91" s="41" t="s">
        <v>89</v>
      </c>
      <c r="D91" s="40" t="s">
        <v>90</v>
      </c>
      <c r="E91" s="16" t="s">
        <v>25</v>
      </c>
      <c r="F91" s="16"/>
      <c r="G91" s="16"/>
      <c r="H91" s="15" t="s">
        <v>206</v>
      </c>
      <c r="I91" s="17">
        <v>-4326982</v>
      </c>
      <c r="J91" s="17"/>
      <c r="K91" s="17"/>
      <c r="L91" s="17">
        <f t="shared" si="33"/>
        <v>-4326982</v>
      </c>
      <c r="M91" s="17"/>
      <c r="N91" s="17"/>
      <c r="O91" s="17">
        <v>-1933182</v>
      </c>
      <c r="P91" s="17"/>
      <c r="Q91" s="17"/>
      <c r="R91" s="17">
        <f t="shared" si="34"/>
        <v>-6260164</v>
      </c>
    </row>
    <row r="92" spans="1:18" s="55" customFormat="1" ht="39" customHeight="1">
      <c r="A92" s="41"/>
      <c r="B92" s="77" t="s">
        <v>67</v>
      </c>
      <c r="C92" s="41" t="s">
        <v>89</v>
      </c>
      <c r="D92" s="40" t="s">
        <v>90</v>
      </c>
      <c r="E92" s="16" t="s">
        <v>25</v>
      </c>
      <c r="F92" s="16"/>
      <c r="G92" s="16"/>
      <c r="H92" s="15" t="s">
        <v>201</v>
      </c>
      <c r="I92" s="17">
        <v>-918229</v>
      </c>
      <c r="J92" s="17"/>
      <c r="K92" s="17"/>
      <c r="L92" s="17">
        <f t="shared" si="33"/>
        <v>-918229</v>
      </c>
      <c r="M92" s="17"/>
      <c r="N92" s="17"/>
      <c r="O92" s="17"/>
      <c r="P92" s="17"/>
      <c r="Q92" s="17"/>
      <c r="R92" s="17">
        <f t="shared" si="34"/>
        <v>-918229</v>
      </c>
    </row>
    <row r="93" spans="1:18" s="23" customFormat="1" ht="13.2">
      <c r="A93" s="31" t="s">
        <v>94</v>
      </c>
      <c r="B93" s="78"/>
      <c r="C93" s="30"/>
      <c r="D93" s="13"/>
      <c r="E93" s="12"/>
      <c r="F93" s="12"/>
      <c r="G93" s="12"/>
      <c r="H93" s="12"/>
      <c r="I93" s="25">
        <f>+SUBTOTAL(9, I67:I92)</f>
        <v>-59542185.299572006</v>
      </c>
      <c r="J93" s="25">
        <f t="shared" ref="J93:R93" si="35">+SUBTOTAL(9, J67:J92)</f>
        <v>-18352754</v>
      </c>
      <c r="K93" s="25">
        <f t="shared" si="35"/>
        <v>-7293500</v>
      </c>
      <c r="L93" s="25">
        <f t="shared" si="35"/>
        <v>-85188439.299571991</v>
      </c>
      <c r="M93" s="25">
        <f t="shared" si="35"/>
        <v>0</v>
      </c>
      <c r="N93" s="25">
        <f t="shared" si="35"/>
        <v>0</v>
      </c>
      <c r="O93" s="25">
        <f t="shared" si="35"/>
        <v>-18884690</v>
      </c>
      <c r="P93" s="25">
        <f t="shared" si="35"/>
        <v>-2682775</v>
      </c>
      <c r="Q93" s="25">
        <f t="shared" si="35"/>
        <v>8200816.0000700001</v>
      </c>
      <c r="R93" s="25">
        <f t="shared" si="35"/>
        <v>-98555088.299502</v>
      </c>
    </row>
    <row r="94" spans="1:18" s="56" customFormat="1" ht="28.2" customHeight="1">
      <c r="A94" s="63" t="s">
        <v>217</v>
      </c>
      <c r="B94" s="80"/>
      <c r="C94" s="58" t="s">
        <v>53</v>
      </c>
      <c r="D94" s="57" t="s">
        <v>54</v>
      </c>
      <c r="E94" s="27" t="s">
        <v>25</v>
      </c>
      <c r="F94" s="101"/>
      <c r="G94" s="101"/>
      <c r="H94" s="15" t="s">
        <v>37</v>
      </c>
      <c r="I94" s="17">
        <v>0</v>
      </c>
      <c r="J94" s="17"/>
      <c r="K94" s="17">
        <f>-20000-40000</f>
        <v>-60000</v>
      </c>
      <c r="L94" s="17">
        <f>+I94+J94+K94</f>
        <v>-60000</v>
      </c>
      <c r="M94" s="97"/>
      <c r="N94" s="97"/>
      <c r="O94" s="97"/>
      <c r="P94" s="97"/>
      <c r="Q94" s="97"/>
      <c r="R94" s="17">
        <f t="shared" si="34"/>
        <v>-60000</v>
      </c>
    </row>
    <row r="95" spans="1:18" s="56" customFormat="1" ht="26.4">
      <c r="A95" s="65"/>
      <c r="B95" s="80"/>
      <c r="C95" s="41" t="s">
        <v>86</v>
      </c>
      <c r="D95" s="40" t="s">
        <v>87</v>
      </c>
      <c r="E95" s="16" t="s">
        <v>25</v>
      </c>
      <c r="F95" s="101"/>
      <c r="G95" s="101"/>
      <c r="H95" s="15" t="s">
        <v>37</v>
      </c>
      <c r="I95" s="17">
        <v>0</v>
      </c>
      <c r="J95" s="17"/>
      <c r="K95" s="17">
        <v>-20000</v>
      </c>
      <c r="L95" s="17">
        <f>+I95+J95+K95</f>
        <v>-20000</v>
      </c>
      <c r="M95" s="97"/>
      <c r="N95" s="97"/>
      <c r="O95" s="97"/>
      <c r="P95" s="97"/>
      <c r="Q95" s="97"/>
      <c r="R95" s="17">
        <f t="shared" si="34"/>
        <v>-20000</v>
      </c>
    </row>
    <row r="96" spans="1:18" s="23" customFormat="1" ht="13.2">
      <c r="A96" s="62" t="s">
        <v>218</v>
      </c>
      <c r="B96" s="18"/>
      <c r="C96" s="12"/>
      <c r="D96" s="13"/>
      <c r="E96" s="12"/>
      <c r="F96" s="12"/>
      <c r="G96" s="12"/>
      <c r="H96" s="12"/>
      <c r="I96" s="25">
        <f>+SUBTOTAL(9, I94:I95)</f>
        <v>0</v>
      </c>
      <c r="J96" s="25">
        <f t="shared" ref="J96:R96" si="36">+SUBTOTAL(9, J94:J95)</f>
        <v>0</v>
      </c>
      <c r="K96" s="25">
        <f t="shared" si="36"/>
        <v>-80000</v>
      </c>
      <c r="L96" s="25">
        <f t="shared" si="36"/>
        <v>-80000</v>
      </c>
      <c r="M96" s="25">
        <f t="shared" si="36"/>
        <v>0</v>
      </c>
      <c r="N96" s="25">
        <f t="shared" si="36"/>
        <v>0</v>
      </c>
      <c r="O96" s="25">
        <f t="shared" si="36"/>
        <v>0</v>
      </c>
      <c r="P96" s="25">
        <f t="shared" si="36"/>
        <v>0</v>
      </c>
      <c r="Q96" s="25">
        <f t="shared" si="36"/>
        <v>0</v>
      </c>
      <c r="R96" s="25">
        <f t="shared" si="36"/>
        <v>-80000</v>
      </c>
    </row>
    <row r="97" spans="1:18" s="63" customFormat="1" ht="28.5" customHeight="1">
      <c r="A97" s="58" t="s">
        <v>95</v>
      </c>
      <c r="B97" s="77" t="s">
        <v>96</v>
      </c>
      <c r="C97" s="58" t="s">
        <v>53</v>
      </c>
      <c r="D97" s="57" t="s">
        <v>54</v>
      </c>
      <c r="E97" s="27" t="s">
        <v>25</v>
      </c>
      <c r="F97" s="27" t="s">
        <v>19</v>
      </c>
      <c r="G97" s="27" t="s">
        <v>19</v>
      </c>
      <c r="H97" s="99" t="s">
        <v>97</v>
      </c>
      <c r="I97" s="104">
        <v>-648000</v>
      </c>
      <c r="J97" s="104"/>
      <c r="K97" s="104"/>
      <c r="L97" s="17">
        <f t="shared" ref="L97:L102" si="37">+I97+J97+K97</f>
        <v>-648000</v>
      </c>
      <c r="M97" s="104"/>
      <c r="N97" s="104"/>
      <c r="O97" s="104"/>
      <c r="P97" s="104"/>
      <c r="Q97" s="104"/>
      <c r="R97" s="17">
        <f t="shared" si="34"/>
        <v>-648000</v>
      </c>
    </row>
    <row r="98" spans="1:18" s="55" customFormat="1" ht="26.4">
      <c r="A98" s="40"/>
      <c r="B98" s="79" t="s">
        <v>52</v>
      </c>
      <c r="C98" s="41" t="s">
        <v>53</v>
      </c>
      <c r="D98" s="40" t="s">
        <v>54</v>
      </c>
      <c r="E98" s="16" t="s">
        <v>25</v>
      </c>
      <c r="F98" s="16"/>
      <c r="G98" s="16"/>
      <c r="H98" s="15" t="s">
        <v>219</v>
      </c>
      <c r="I98" s="16">
        <v>0</v>
      </c>
      <c r="J98" s="17"/>
      <c r="K98" s="17">
        <v>-2215000</v>
      </c>
      <c r="L98" s="17">
        <f>+I98+J98+K98</f>
        <v>-2215000</v>
      </c>
      <c r="M98" s="17"/>
      <c r="N98" s="17"/>
      <c r="O98" s="17"/>
      <c r="P98" s="17">
        <v>1000000</v>
      </c>
      <c r="Q98" s="17"/>
      <c r="R98" s="17">
        <f t="shared" si="34"/>
        <v>-1215000</v>
      </c>
    </row>
    <row r="99" spans="1:18" s="55" customFormat="1" ht="26.4">
      <c r="A99" s="40"/>
      <c r="B99" s="79" t="s">
        <v>52</v>
      </c>
      <c r="C99" s="41" t="s">
        <v>53</v>
      </c>
      <c r="D99" s="40" t="s">
        <v>54</v>
      </c>
      <c r="E99" s="16" t="s">
        <v>25</v>
      </c>
      <c r="F99" s="16" t="s">
        <v>43</v>
      </c>
      <c r="G99" s="109" t="s">
        <v>44</v>
      </c>
      <c r="H99" s="16" t="s">
        <v>257</v>
      </c>
      <c r="I99" s="16"/>
      <c r="J99" s="17"/>
      <c r="K99" s="17"/>
      <c r="L99" s="17">
        <v>0</v>
      </c>
      <c r="M99" s="17"/>
      <c r="N99" s="17"/>
      <c r="O99" s="17"/>
      <c r="P99" s="17">
        <v>-1000000</v>
      </c>
      <c r="Q99" s="17"/>
      <c r="R99" s="17">
        <f t="shared" si="34"/>
        <v>-1000000</v>
      </c>
    </row>
    <row r="100" spans="1:18" s="55" customFormat="1" ht="26.4">
      <c r="A100" s="40"/>
      <c r="B100" s="110" t="s">
        <v>259</v>
      </c>
      <c r="C100" s="41" t="s">
        <v>53</v>
      </c>
      <c r="D100" s="40" t="s">
        <v>54</v>
      </c>
      <c r="E100" s="16" t="s">
        <v>25</v>
      </c>
      <c r="F100" s="16"/>
      <c r="G100" s="16"/>
      <c r="H100" s="15" t="s">
        <v>220</v>
      </c>
      <c r="I100" s="16">
        <v>0</v>
      </c>
      <c r="J100" s="17"/>
      <c r="K100" s="17">
        <v>-3000000</v>
      </c>
      <c r="L100" s="17">
        <f t="shared" si="37"/>
        <v>-3000000</v>
      </c>
      <c r="M100" s="17"/>
      <c r="N100" s="17"/>
      <c r="O100" s="17"/>
      <c r="P100" s="17">
        <v>100000</v>
      </c>
      <c r="Q100" s="17"/>
      <c r="R100" s="17">
        <f t="shared" si="34"/>
        <v>-2900000</v>
      </c>
    </row>
    <row r="101" spans="1:18" s="55" customFormat="1" ht="26.4">
      <c r="A101" s="40"/>
      <c r="B101" s="110" t="s">
        <v>259</v>
      </c>
      <c r="C101" s="41" t="s">
        <v>53</v>
      </c>
      <c r="D101" s="40" t="s">
        <v>54</v>
      </c>
      <c r="E101" s="16" t="s">
        <v>25</v>
      </c>
      <c r="F101" s="16" t="s">
        <v>43</v>
      </c>
      <c r="G101" s="109" t="s">
        <v>44</v>
      </c>
      <c r="H101" s="15" t="s">
        <v>258</v>
      </c>
      <c r="I101" s="16"/>
      <c r="J101" s="17"/>
      <c r="K101" s="17"/>
      <c r="L101" s="17">
        <v>0</v>
      </c>
      <c r="M101" s="17"/>
      <c r="N101" s="17"/>
      <c r="O101" s="17"/>
      <c r="P101" s="17">
        <v>-100000</v>
      </c>
      <c r="Q101" s="17"/>
      <c r="R101" s="17">
        <f t="shared" si="34"/>
        <v>-100000</v>
      </c>
    </row>
    <row r="102" spans="1:18" s="55" customFormat="1" ht="26.4">
      <c r="A102" s="64"/>
      <c r="B102" s="77" t="s">
        <v>98</v>
      </c>
      <c r="C102" s="41" t="s">
        <v>81</v>
      </c>
      <c r="D102" s="40" t="s">
        <v>82</v>
      </c>
      <c r="E102" s="16" t="s">
        <v>25</v>
      </c>
      <c r="F102" s="16"/>
      <c r="G102" s="16"/>
      <c r="H102" s="15" t="s">
        <v>37</v>
      </c>
      <c r="I102" s="104">
        <v>-179000</v>
      </c>
      <c r="J102" s="104"/>
      <c r="K102" s="104"/>
      <c r="L102" s="17">
        <f t="shared" si="37"/>
        <v>-179000</v>
      </c>
      <c r="M102" s="17"/>
      <c r="N102" s="17"/>
      <c r="O102" s="17"/>
      <c r="P102" s="17"/>
      <c r="Q102" s="17"/>
      <c r="R102" s="17">
        <f t="shared" si="34"/>
        <v>-179000</v>
      </c>
    </row>
    <row r="103" spans="1:18" s="23" customFormat="1" ht="13.2">
      <c r="A103" s="32" t="s">
        <v>99</v>
      </c>
      <c r="B103" s="81"/>
      <c r="C103" s="12"/>
      <c r="D103" s="13"/>
      <c r="E103" s="12"/>
      <c r="F103" s="12"/>
      <c r="G103" s="12"/>
      <c r="H103" s="12"/>
      <c r="I103" s="25">
        <f>+SUBTOTAL(9, I97:I102)</f>
        <v>-827000</v>
      </c>
      <c r="J103" s="25">
        <f t="shared" ref="J103:R103" si="38">+SUBTOTAL(9, J97:J102)</f>
        <v>0</v>
      </c>
      <c r="K103" s="25">
        <f t="shared" si="38"/>
        <v>-5215000</v>
      </c>
      <c r="L103" s="25">
        <f t="shared" si="38"/>
        <v>-6042000</v>
      </c>
      <c r="M103" s="25">
        <f t="shared" si="38"/>
        <v>0</v>
      </c>
      <c r="N103" s="25">
        <f t="shared" si="38"/>
        <v>0</v>
      </c>
      <c r="O103" s="25">
        <f t="shared" si="38"/>
        <v>0</v>
      </c>
      <c r="P103" s="25">
        <f t="shared" si="38"/>
        <v>0</v>
      </c>
      <c r="Q103" s="25">
        <f t="shared" si="38"/>
        <v>0</v>
      </c>
      <c r="R103" s="25">
        <f t="shared" si="38"/>
        <v>-6042000</v>
      </c>
    </row>
    <row r="104" spans="1:18" s="56" customFormat="1" ht="26.4">
      <c r="A104" s="41" t="s">
        <v>245</v>
      </c>
      <c r="B104" s="91"/>
      <c r="C104" s="41" t="s">
        <v>86</v>
      </c>
      <c r="D104" s="40" t="s">
        <v>87</v>
      </c>
      <c r="E104" s="16" t="s">
        <v>25</v>
      </c>
      <c r="F104" s="16"/>
      <c r="G104" s="16"/>
      <c r="H104" s="15" t="s">
        <v>247</v>
      </c>
      <c r="I104" s="17">
        <v>0</v>
      </c>
      <c r="J104" s="17"/>
      <c r="K104" s="17">
        <v>-75000</v>
      </c>
      <c r="L104" s="17">
        <f>+I104+J104+K104</f>
        <v>-75000</v>
      </c>
      <c r="M104" s="97"/>
      <c r="N104" s="97"/>
      <c r="O104" s="97"/>
      <c r="P104" s="17">
        <v>75000</v>
      </c>
      <c r="Q104" s="17"/>
      <c r="R104" s="17">
        <f t="shared" si="34"/>
        <v>0</v>
      </c>
    </row>
    <row r="105" spans="1:18" s="23" customFormat="1" ht="13.2">
      <c r="A105" s="70" t="s">
        <v>246</v>
      </c>
      <c r="B105" s="81"/>
      <c r="C105" s="12"/>
      <c r="D105" s="13"/>
      <c r="E105" s="12"/>
      <c r="F105" s="12"/>
      <c r="G105" s="12"/>
      <c r="H105" s="12"/>
      <c r="I105" s="25">
        <f>+SUBTOTAL(9, I104)</f>
        <v>0</v>
      </c>
      <c r="J105" s="25">
        <f t="shared" ref="J105:R105" si="39">+SUBTOTAL(9, J104)</f>
        <v>0</v>
      </c>
      <c r="K105" s="25">
        <f t="shared" si="39"/>
        <v>-75000</v>
      </c>
      <c r="L105" s="25">
        <f t="shared" si="39"/>
        <v>-75000</v>
      </c>
      <c r="M105" s="25">
        <f t="shared" si="39"/>
        <v>0</v>
      </c>
      <c r="N105" s="25">
        <f t="shared" si="39"/>
        <v>0</v>
      </c>
      <c r="O105" s="25">
        <f t="shared" si="39"/>
        <v>0</v>
      </c>
      <c r="P105" s="25">
        <f t="shared" si="39"/>
        <v>75000</v>
      </c>
      <c r="Q105" s="25">
        <f t="shared" si="39"/>
        <v>0</v>
      </c>
      <c r="R105" s="25">
        <f t="shared" si="39"/>
        <v>0</v>
      </c>
    </row>
    <row r="106" spans="1:18" s="56" customFormat="1" ht="25.2" customHeight="1">
      <c r="A106" s="40" t="s">
        <v>107</v>
      </c>
      <c r="B106" s="77" t="s">
        <v>164</v>
      </c>
      <c r="C106" s="41" t="s">
        <v>86</v>
      </c>
      <c r="D106" s="40" t="s">
        <v>87</v>
      </c>
      <c r="E106" s="16" t="s">
        <v>25</v>
      </c>
      <c r="F106" s="16" t="s">
        <v>166</v>
      </c>
      <c r="G106" s="16" t="s">
        <v>167</v>
      </c>
      <c r="H106" s="16" t="s">
        <v>45</v>
      </c>
      <c r="I106" s="17">
        <v>0</v>
      </c>
      <c r="J106" s="17">
        <v>-10000</v>
      </c>
      <c r="K106" s="17"/>
      <c r="L106" s="17">
        <f t="shared" ref="L106:L112" si="40">+I106+J106+K106</f>
        <v>-10000</v>
      </c>
      <c r="M106" s="97"/>
      <c r="N106" s="97"/>
      <c r="O106" s="97"/>
      <c r="P106" s="97"/>
      <c r="Q106" s="97"/>
      <c r="R106" s="17">
        <f t="shared" si="34"/>
        <v>-10000</v>
      </c>
    </row>
    <row r="107" spans="1:18" s="56" customFormat="1" ht="27" customHeight="1">
      <c r="A107" s="41" t="s">
        <v>109</v>
      </c>
      <c r="B107" s="77" t="s">
        <v>165</v>
      </c>
      <c r="C107" s="41" t="s">
        <v>86</v>
      </c>
      <c r="D107" s="40" t="s">
        <v>87</v>
      </c>
      <c r="E107" s="16" t="s">
        <v>25</v>
      </c>
      <c r="F107" s="16" t="s">
        <v>166</v>
      </c>
      <c r="G107" s="16" t="s">
        <v>167</v>
      </c>
      <c r="H107" s="16" t="s">
        <v>45</v>
      </c>
      <c r="I107" s="17">
        <v>0</v>
      </c>
      <c r="J107" s="17">
        <v>-5000</v>
      </c>
      <c r="K107" s="17"/>
      <c r="L107" s="17">
        <f t="shared" si="40"/>
        <v>-5000</v>
      </c>
      <c r="M107" s="97"/>
      <c r="N107" s="97"/>
      <c r="O107" s="97"/>
      <c r="P107" s="97"/>
      <c r="Q107" s="97"/>
      <c r="R107" s="17">
        <f t="shared" si="34"/>
        <v>-5000</v>
      </c>
    </row>
    <row r="108" spans="1:18" s="55" customFormat="1" ht="16.2" customHeight="1">
      <c r="A108" s="40" t="s">
        <v>100</v>
      </c>
      <c r="B108" s="77" t="s">
        <v>101</v>
      </c>
      <c r="C108" s="41" t="s">
        <v>72</v>
      </c>
      <c r="D108" s="40" t="s">
        <v>73</v>
      </c>
      <c r="E108" s="16" t="s">
        <v>25</v>
      </c>
      <c r="F108" s="16" t="s">
        <v>102</v>
      </c>
      <c r="G108" s="16" t="s">
        <v>103</v>
      </c>
      <c r="H108" s="15" t="s">
        <v>37</v>
      </c>
      <c r="I108" s="17">
        <v>-5000</v>
      </c>
      <c r="J108" s="17"/>
      <c r="K108" s="17"/>
      <c r="L108" s="17">
        <f t="shared" si="40"/>
        <v>-5000</v>
      </c>
      <c r="M108" s="17"/>
      <c r="N108" s="17"/>
      <c r="O108" s="17"/>
      <c r="P108" s="17"/>
      <c r="Q108" s="17"/>
      <c r="R108" s="17">
        <f t="shared" si="34"/>
        <v>-5000</v>
      </c>
    </row>
    <row r="109" spans="1:18" s="55" customFormat="1" ht="25.5" customHeight="1">
      <c r="A109" s="40" t="s">
        <v>104</v>
      </c>
      <c r="B109" s="77" t="s">
        <v>105</v>
      </c>
      <c r="C109" s="41" t="s">
        <v>81</v>
      </c>
      <c r="D109" s="40" t="s">
        <v>82</v>
      </c>
      <c r="E109" s="16" t="s">
        <v>25</v>
      </c>
      <c r="F109" s="16" t="s">
        <v>102</v>
      </c>
      <c r="G109" s="16" t="s">
        <v>103</v>
      </c>
      <c r="H109" s="15" t="s">
        <v>37</v>
      </c>
      <c r="I109" s="17">
        <v>-17000</v>
      </c>
      <c r="J109" s="17"/>
      <c r="K109" s="17"/>
      <c r="L109" s="17">
        <f t="shared" si="40"/>
        <v>-17000</v>
      </c>
      <c r="M109" s="17"/>
      <c r="N109" s="17"/>
      <c r="O109" s="17"/>
      <c r="P109" s="17"/>
      <c r="Q109" s="17"/>
      <c r="R109" s="17">
        <f t="shared" si="34"/>
        <v>-17000</v>
      </c>
    </row>
    <row r="110" spans="1:18" s="55" customFormat="1" ht="26.4">
      <c r="A110" s="40" t="s">
        <v>210</v>
      </c>
      <c r="B110" s="77" t="s">
        <v>106</v>
      </c>
      <c r="C110" s="41" t="s">
        <v>81</v>
      </c>
      <c r="D110" s="40" t="s">
        <v>82</v>
      </c>
      <c r="E110" s="16" t="s">
        <v>25</v>
      </c>
      <c r="F110" s="16" t="s">
        <v>102</v>
      </c>
      <c r="G110" s="16" t="s">
        <v>103</v>
      </c>
      <c r="H110" s="15" t="s">
        <v>37</v>
      </c>
      <c r="I110" s="17">
        <v>-3000</v>
      </c>
      <c r="J110" s="17"/>
      <c r="K110" s="17"/>
      <c r="L110" s="17">
        <f t="shared" si="40"/>
        <v>-3000</v>
      </c>
      <c r="M110" s="17"/>
      <c r="N110" s="17"/>
      <c r="O110" s="17"/>
      <c r="P110" s="17"/>
      <c r="Q110" s="17"/>
      <c r="R110" s="17">
        <f t="shared" si="34"/>
        <v>-3000</v>
      </c>
    </row>
    <row r="111" spans="1:18" s="55" customFormat="1" ht="25.5" customHeight="1">
      <c r="A111" s="40" t="s">
        <v>209</v>
      </c>
      <c r="B111" s="77" t="s">
        <v>108</v>
      </c>
      <c r="C111" s="41" t="s">
        <v>86</v>
      </c>
      <c r="D111" s="40" t="s">
        <v>87</v>
      </c>
      <c r="E111" s="16" t="s">
        <v>25</v>
      </c>
      <c r="F111" s="16" t="s">
        <v>102</v>
      </c>
      <c r="G111" s="16" t="s">
        <v>103</v>
      </c>
      <c r="H111" s="15" t="s">
        <v>37</v>
      </c>
      <c r="I111" s="17">
        <v>-30000</v>
      </c>
      <c r="J111" s="17"/>
      <c r="K111" s="17"/>
      <c r="L111" s="17">
        <f t="shared" si="40"/>
        <v>-30000</v>
      </c>
      <c r="M111" s="17"/>
      <c r="N111" s="17"/>
      <c r="O111" s="17"/>
      <c r="P111" s="17"/>
      <c r="Q111" s="17"/>
      <c r="R111" s="17">
        <f t="shared" si="34"/>
        <v>-30000</v>
      </c>
    </row>
    <row r="112" spans="1:18" s="55" customFormat="1" ht="26.4">
      <c r="A112" s="41" t="s">
        <v>208</v>
      </c>
      <c r="B112" s="77" t="s">
        <v>110</v>
      </c>
      <c r="C112" s="41" t="s">
        <v>86</v>
      </c>
      <c r="D112" s="40" t="s">
        <v>87</v>
      </c>
      <c r="E112" s="16" t="s">
        <v>25</v>
      </c>
      <c r="F112" s="16" t="s">
        <v>102</v>
      </c>
      <c r="G112" s="16" t="s">
        <v>103</v>
      </c>
      <c r="H112" s="15" t="s">
        <v>37</v>
      </c>
      <c r="I112" s="17">
        <v>-5000</v>
      </c>
      <c r="J112" s="17"/>
      <c r="K112" s="17"/>
      <c r="L112" s="17">
        <f t="shared" si="40"/>
        <v>-5000</v>
      </c>
      <c r="M112" s="17"/>
      <c r="N112" s="17"/>
      <c r="O112" s="17"/>
      <c r="P112" s="17"/>
      <c r="Q112" s="17"/>
      <c r="R112" s="17">
        <f t="shared" si="34"/>
        <v>-5000</v>
      </c>
    </row>
    <row r="113" spans="1:18" s="23" customFormat="1" ht="13.2">
      <c r="A113" s="12" t="s">
        <v>111</v>
      </c>
      <c r="B113" s="19"/>
      <c r="C113" s="18"/>
      <c r="D113" s="18"/>
      <c r="E113" s="18"/>
      <c r="F113" s="12"/>
      <c r="G113" s="12"/>
      <c r="H113" s="12"/>
      <c r="I113" s="25">
        <f>+SUBTOTAL(9, I108:I112)</f>
        <v>-60000</v>
      </c>
      <c r="J113" s="25">
        <f t="shared" ref="J113:R113" si="41">+SUBTOTAL(9, J108:J112)</f>
        <v>0</v>
      </c>
      <c r="K113" s="25">
        <f t="shared" si="41"/>
        <v>0</v>
      </c>
      <c r="L113" s="25">
        <f t="shared" si="41"/>
        <v>-60000</v>
      </c>
      <c r="M113" s="25">
        <f t="shared" si="41"/>
        <v>0</v>
      </c>
      <c r="N113" s="25">
        <f t="shared" si="41"/>
        <v>0</v>
      </c>
      <c r="O113" s="25">
        <f t="shared" si="41"/>
        <v>0</v>
      </c>
      <c r="P113" s="25">
        <f t="shared" si="41"/>
        <v>0</v>
      </c>
      <c r="Q113" s="25">
        <f t="shared" si="41"/>
        <v>0</v>
      </c>
      <c r="R113" s="25">
        <f t="shared" si="41"/>
        <v>-60000</v>
      </c>
    </row>
    <row r="114" spans="1:18" s="63" customFormat="1" ht="30" customHeight="1">
      <c r="A114" s="57" t="s">
        <v>112</v>
      </c>
      <c r="B114" s="95"/>
      <c r="C114" s="58" t="s">
        <v>53</v>
      </c>
      <c r="D114" s="57" t="s">
        <v>54</v>
      </c>
      <c r="E114" s="27" t="s">
        <v>25</v>
      </c>
      <c r="F114" s="27" t="s">
        <v>19</v>
      </c>
      <c r="G114" s="27" t="s">
        <v>19</v>
      </c>
      <c r="H114" s="99" t="s">
        <v>221</v>
      </c>
      <c r="I114" s="104">
        <v>0</v>
      </c>
      <c r="J114" s="104"/>
      <c r="K114" s="104">
        <v>-50000</v>
      </c>
      <c r="L114" s="104">
        <f>+I114+J114+K114</f>
        <v>-50000</v>
      </c>
      <c r="M114" s="104"/>
      <c r="N114" s="104"/>
      <c r="O114" s="104">
        <v>-3330</v>
      </c>
      <c r="P114" s="104"/>
      <c r="Q114" s="104"/>
      <c r="R114" s="17">
        <f t="shared" si="34"/>
        <v>-53330</v>
      </c>
    </row>
    <row r="115" spans="1:18" s="56" customFormat="1" ht="28.95" customHeight="1">
      <c r="B115" s="82" t="s">
        <v>113</v>
      </c>
      <c r="C115" s="41" t="s">
        <v>81</v>
      </c>
      <c r="D115" s="40" t="s">
        <v>82</v>
      </c>
      <c r="E115" s="16" t="s">
        <v>25</v>
      </c>
      <c r="F115" s="16"/>
      <c r="G115" s="16"/>
      <c r="H115" s="15" t="s">
        <v>37</v>
      </c>
      <c r="I115" s="17">
        <v>-345000</v>
      </c>
      <c r="J115" s="17"/>
      <c r="K115" s="17"/>
      <c r="L115" s="17">
        <f>+I115+J115+K115</f>
        <v>-345000</v>
      </c>
      <c r="M115" s="97"/>
      <c r="N115" s="97"/>
      <c r="O115" s="97"/>
      <c r="P115" s="97"/>
      <c r="Q115" s="97"/>
      <c r="R115" s="17">
        <f t="shared" si="34"/>
        <v>-345000</v>
      </c>
    </row>
    <row r="116" spans="1:18" s="23" customFormat="1" ht="13.2">
      <c r="A116" s="33" t="s">
        <v>114</v>
      </c>
      <c r="B116" s="83"/>
      <c r="C116" s="34"/>
      <c r="D116" s="35"/>
      <c r="E116" s="12"/>
      <c r="F116" s="12"/>
      <c r="G116" s="12"/>
      <c r="H116" s="12"/>
      <c r="I116" s="25">
        <f>+SUBTOTAL(9, I114:I115)</f>
        <v>-345000</v>
      </c>
      <c r="J116" s="25">
        <f t="shared" ref="J116:R116" si="42">+SUBTOTAL(9, J114:J115)</f>
        <v>0</v>
      </c>
      <c r="K116" s="25">
        <f t="shared" si="42"/>
        <v>-50000</v>
      </c>
      <c r="L116" s="25">
        <f t="shared" si="42"/>
        <v>-395000</v>
      </c>
      <c r="M116" s="25">
        <f t="shared" si="42"/>
        <v>0</v>
      </c>
      <c r="N116" s="25">
        <f t="shared" si="42"/>
        <v>0</v>
      </c>
      <c r="O116" s="25">
        <f t="shared" si="42"/>
        <v>-3330</v>
      </c>
      <c r="P116" s="25">
        <f t="shared" si="42"/>
        <v>0</v>
      </c>
      <c r="Q116" s="25">
        <f t="shared" si="42"/>
        <v>0</v>
      </c>
      <c r="R116" s="25">
        <f t="shared" si="42"/>
        <v>-398330</v>
      </c>
    </row>
    <row r="117" spans="1:18" s="56" customFormat="1" ht="26.4">
      <c r="A117" s="57" t="s">
        <v>115</v>
      </c>
      <c r="B117" s="77" t="s">
        <v>116</v>
      </c>
      <c r="C117" s="41" t="s">
        <v>81</v>
      </c>
      <c r="D117" s="40" t="s">
        <v>82</v>
      </c>
      <c r="E117" s="16" t="s">
        <v>25</v>
      </c>
      <c r="F117" s="16"/>
      <c r="G117" s="16"/>
      <c r="H117" s="15" t="s">
        <v>37</v>
      </c>
      <c r="I117" s="17">
        <v>-498000</v>
      </c>
      <c r="J117" s="17"/>
      <c r="K117" s="17"/>
      <c r="L117" s="17">
        <f>+I117+J117+K117</f>
        <v>-498000</v>
      </c>
      <c r="M117" s="97"/>
      <c r="N117" s="97"/>
      <c r="O117" s="97"/>
      <c r="P117" s="97"/>
      <c r="Q117" s="97"/>
      <c r="R117" s="17">
        <f t="shared" si="34"/>
        <v>-498000</v>
      </c>
    </row>
    <row r="118" spans="1:18" s="23" customFormat="1" ht="14.4" customHeight="1">
      <c r="A118" s="130" t="s">
        <v>117</v>
      </c>
      <c r="B118" s="131"/>
      <c r="C118" s="10"/>
      <c r="D118" s="10"/>
      <c r="E118" s="12"/>
      <c r="F118" s="12"/>
      <c r="G118" s="12"/>
      <c r="H118" s="12"/>
      <c r="I118" s="25">
        <f>+SUBTOTAL(9,I117)</f>
        <v>-498000</v>
      </c>
      <c r="J118" s="25">
        <f t="shared" ref="J118:R118" si="43">+SUBTOTAL(9,J117)</f>
        <v>0</v>
      </c>
      <c r="K118" s="25">
        <f t="shared" si="43"/>
        <v>0</v>
      </c>
      <c r="L118" s="25">
        <f t="shared" si="43"/>
        <v>-498000</v>
      </c>
      <c r="M118" s="25">
        <f t="shared" si="43"/>
        <v>0</v>
      </c>
      <c r="N118" s="25">
        <f t="shared" si="43"/>
        <v>0</v>
      </c>
      <c r="O118" s="25">
        <f t="shared" si="43"/>
        <v>0</v>
      </c>
      <c r="P118" s="25">
        <f t="shared" si="43"/>
        <v>0</v>
      </c>
      <c r="Q118" s="25">
        <f t="shared" si="43"/>
        <v>0</v>
      </c>
      <c r="R118" s="25">
        <f t="shared" si="43"/>
        <v>-498000</v>
      </c>
    </row>
    <row r="119" spans="1:18" s="55" customFormat="1" ht="26.4">
      <c r="A119" s="41" t="s">
        <v>118</v>
      </c>
      <c r="B119" s="77" t="s">
        <v>119</v>
      </c>
      <c r="C119" s="41" t="s">
        <v>86</v>
      </c>
      <c r="D119" s="40" t="s">
        <v>87</v>
      </c>
      <c r="E119" s="16" t="s">
        <v>25</v>
      </c>
      <c r="F119" s="16"/>
      <c r="G119" s="16"/>
      <c r="H119" s="15" t="s">
        <v>211</v>
      </c>
      <c r="I119" s="104">
        <v>-360000</v>
      </c>
      <c r="J119" s="104"/>
      <c r="K119" s="104"/>
      <c r="L119" s="17">
        <f>+I119+J119+K119</f>
        <v>-360000</v>
      </c>
      <c r="M119" s="17"/>
      <c r="N119" s="17"/>
      <c r="O119" s="17"/>
      <c r="P119" s="17"/>
      <c r="Q119" s="17"/>
      <c r="R119" s="17">
        <f t="shared" si="34"/>
        <v>-360000</v>
      </c>
    </row>
    <row r="120" spans="1:18" s="23" customFormat="1" ht="13.2">
      <c r="A120" s="12" t="s">
        <v>120</v>
      </c>
      <c r="B120" s="19"/>
      <c r="C120" s="12"/>
      <c r="D120" s="13"/>
      <c r="E120" s="12"/>
      <c r="F120" s="12"/>
      <c r="G120" s="12"/>
      <c r="H120" s="12"/>
      <c r="I120" s="105">
        <f>+SUBTOTAL(9, I119)</f>
        <v>-360000</v>
      </c>
      <c r="J120" s="105">
        <f t="shared" ref="J120:R120" si="44">+SUBTOTAL(9, J119)</f>
        <v>0</v>
      </c>
      <c r="K120" s="105">
        <f t="shared" si="44"/>
        <v>0</v>
      </c>
      <c r="L120" s="105">
        <f t="shared" si="44"/>
        <v>-360000</v>
      </c>
      <c r="M120" s="105">
        <f t="shared" si="44"/>
        <v>0</v>
      </c>
      <c r="N120" s="105">
        <f t="shared" si="44"/>
        <v>0</v>
      </c>
      <c r="O120" s="105">
        <f t="shared" si="44"/>
        <v>0</v>
      </c>
      <c r="P120" s="105">
        <f t="shared" si="44"/>
        <v>0</v>
      </c>
      <c r="Q120" s="105">
        <f t="shared" si="44"/>
        <v>0</v>
      </c>
      <c r="R120" s="105">
        <f t="shared" si="44"/>
        <v>-360000</v>
      </c>
    </row>
    <row r="121" spans="1:18" s="23" customFormat="1" ht="26.4">
      <c r="A121" s="123" t="s">
        <v>310</v>
      </c>
      <c r="B121" s="122"/>
      <c r="C121" s="41" t="s">
        <v>81</v>
      </c>
      <c r="D121" s="40" t="s">
        <v>82</v>
      </c>
      <c r="E121" s="16" t="s">
        <v>25</v>
      </c>
      <c r="F121" s="101"/>
      <c r="G121" s="101"/>
      <c r="H121" s="15" t="s">
        <v>312</v>
      </c>
      <c r="I121" s="97"/>
      <c r="J121" s="97"/>
      <c r="K121" s="97"/>
      <c r="L121" s="17">
        <v>0</v>
      </c>
      <c r="M121" s="17"/>
      <c r="N121" s="17"/>
      <c r="O121" s="17">
        <v>-10000</v>
      </c>
      <c r="P121" s="17"/>
      <c r="Q121" s="17"/>
      <c r="R121" s="17">
        <f>SUM(L121:Q121)</f>
        <v>-10000</v>
      </c>
    </row>
    <row r="122" spans="1:18" s="23" customFormat="1" ht="13.2">
      <c r="A122" s="12" t="s">
        <v>311</v>
      </c>
      <c r="B122" s="19"/>
      <c r="C122" s="12"/>
      <c r="D122" s="13"/>
      <c r="E122" s="12"/>
      <c r="F122" s="12"/>
      <c r="G122" s="12"/>
      <c r="H122" s="12"/>
      <c r="I122" s="105"/>
      <c r="J122" s="105"/>
      <c r="K122" s="105"/>
      <c r="L122" s="105">
        <f>+SUBTOTAL(9,L121)</f>
        <v>0</v>
      </c>
      <c r="M122" s="105">
        <f t="shared" ref="M122:R122" si="45">+SUBTOTAL(9,M121)</f>
        <v>0</v>
      </c>
      <c r="N122" s="105">
        <f t="shared" si="45"/>
        <v>0</v>
      </c>
      <c r="O122" s="105">
        <f t="shared" si="45"/>
        <v>-10000</v>
      </c>
      <c r="P122" s="105">
        <f t="shared" si="45"/>
        <v>0</v>
      </c>
      <c r="Q122" s="105">
        <f t="shared" si="45"/>
        <v>0</v>
      </c>
      <c r="R122" s="105">
        <f t="shared" si="45"/>
        <v>-10000</v>
      </c>
    </row>
    <row r="123" spans="1:18" s="55" customFormat="1" ht="26.4">
      <c r="A123" s="41" t="s">
        <v>121</v>
      </c>
      <c r="B123" s="82" t="s">
        <v>122</v>
      </c>
      <c r="C123" s="41" t="s">
        <v>123</v>
      </c>
      <c r="D123" s="40" t="s">
        <v>124</v>
      </c>
      <c r="E123" s="16" t="s">
        <v>25</v>
      </c>
      <c r="F123" s="16" t="s">
        <v>125</v>
      </c>
      <c r="G123" s="16" t="s">
        <v>126</v>
      </c>
      <c r="H123" s="16" t="s">
        <v>45</v>
      </c>
      <c r="I123" s="17">
        <v>-800000</v>
      </c>
      <c r="J123" s="17"/>
      <c r="K123" s="17"/>
      <c r="L123" s="17">
        <f t="shared" ref="L123:L125" si="46">+I123+J123+K123</f>
        <v>-800000</v>
      </c>
      <c r="M123" s="17"/>
      <c r="N123" s="17"/>
      <c r="O123" s="17"/>
      <c r="P123" s="17"/>
      <c r="Q123" s="17">
        <v>649064.00000999996</v>
      </c>
      <c r="R123" s="17">
        <f t="shared" si="34"/>
        <v>-150935.99999000004</v>
      </c>
    </row>
    <row r="124" spans="1:18" s="55" customFormat="1" ht="26.4">
      <c r="A124" s="41"/>
      <c r="B124" s="82" t="s">
        <v>122</v>
      </c>
      <c r="C124" s="41" t="s">
        <v>123</v>
      </c>
      <c r="D124" s="40" t="s">
        <v>124</v>
      </c>
      <c r="E124" s="16" t="s">
        <v>25</v>
      </c>
      <c r="F124" s="16" t="s">
        <v>127</v>
      </c>
      <c r="G124" s="16" t="s">
        <v>128</v>
      </c>
      <c r="H124" s="16" t="s">
        <v>45</v>
      </c>
      <c r="I124" s="17">
        <v>-800000</v>
      </c>
      <c r="J124" s="17"/>
      <c r="K124" s="17"/>
      <c r="L124" s="17">
        <f t="shared" si="46"/>
        <v>-800000</v>
      </c>
      <c r="M124" s="17"/>
      <c r="N124" s="17"/>
      <c r="O124" s="17"/>
      <c r="P124" s="17"/>
      <c r="Q124" s="17">
        <v>709155.00000999996</v>
      </c>
      <c r="R124" s="17">
        <f t="shared" si="34"/>
        <v>-90844.99999000004</v>
      </c>
    </row>
    <row r="125" spans="1:18" s="55" customFormat="1" ht="26.4">
      <c r="A125" s="41"/>
      <c r="B125" s="82" t="s">
        <v>122</v>
      </c>
      <c r="C125" s="41" t="s">
        <v>123</v>
      </c>
      <c r="D125" s="40" t="s">
        <v>124</v>
      </c>
      <c r="E125" s="16" t="s">
        <v>25</v>
      </c>
      <c r="F125" s="16" t="s">
        <v>174</v>
      </c>
      <c r="G125" s="16" t="s">
        <v>175</v>
      </c>
      <c r="H125" s="16" t="s">
        <v>45</v>
      </c>
      <c r="I125" s="17">
        <v>0</v>
      </c>
      <c r="J125" s="17">
        <v>-1100056</v>
      </c>
      <c r="K125" s="17"/>
      <c r="L125" s="17">
        <f t="shared" si="46"/>
        <v>-1100056</v>
      </c>
      <c r="M125" s="17"/>
      <c r="N125" s="17"/>
      <c r="O125" s="102">
        <v>-46251.199999999953</v>
      </c>
      <c r="P125" s="17"/>
      <c r="Q125" s="17"/>
      <c r="R125" s="17">
        <f t="shared" si="34"/>
        <v>-1146307.2</v>
      </c>
    </row>
    <row r="126" spans="1:18" s="23" customFormat="1" ht="13.2">
      <c r="A126" s="12" t="s">
        <v>129</v>
      </c>
      <c r="B126" s="19"/>
      <c r="C126" s="12"/>
      <c r="D126" s="13"/>
      <c r="E126" s="12"/>
      <c r="F126" s="12"/>
      <c r="G126" s="12"/>
      <c r="H126" s="12"/>
      <c r="I126" s="25">
        <f>+SUBTOTAL(9, I123:I125)</f>
        <v>-1600000</v>
      </c>
      <c r="J126" s="25">
        <f t="shared" ref="J126:R126" si="47">+SUBTOTAL(9, J123:J125)</f>
        <v>-1100056</v>
      </c>
      <c r="K126" s="25">
        <f t="shared" si="47"/>
        <v>0</v>
      </c>
      <c r="L126" s="25">
        <f t="shared" si="47"/>
        <v>-2700056</v>
      </c>
      <c r="M126" s="25">
        <f t="shared" si="47"/>
        <v>0</v>
      </c>
      <c r="N126" s="25">
        <f t="shared" si="47"/>
        <v>0</v>
      </c>
      <c r="O126" s="25">
        <f t="shared" si="47"/>
        <v>-46251.199999999953</v>
      </c>
      <c r="P126" s="25">
        <f t="shared" si="47"/>
        <v>0</v>
      </c>
      <c r="Q126" s="25">
        <f t="shared" si="47"/>
        <v>1358219.0000199999</v>
      </c>
      <c r="R126" s="25">
        <f t="shared" si="47"/>
        <v>-1388088.19998</v>
      </c>
    </row>
    <row r="127" spans="1:18" s="55" customFormat="1" ht="26.4">
      <c r="A127" s="41" t="s">
        <v>130</v>
      </c>
      <c r="B127" s="82" t="s">
        <v>267</v>
      </c>
      <c r="C127" s="41" t="s">
        <v>131</v>
      </c>
      <c r="D127" s="40" t="s">
        <v>132</v>
      </c>
      <c r="E127" s="16" t="s">
        <v>25</v>
      </c>
      <c r="F127" s="16" t="s">
        <v>19</v>
      </c>
      <c r="G127" s="16" t="s">
        <v>19</v>
      </c>
      <c r="H127" s="15" t="s">
        <v>133</v>
      </c>
      <c r="I127" s="17">
        <v>-7767000</v>
      </c>
      <c r="J127" s="17"/>
      <c r="K127" s="17"/>
      <c r="L127" s="17">
        <f t="shared" ref="L127:L128" si="48">+I127+J127+K127</f>
        <v>-7767000</v>
      </c>
      <c r="M127" s="17"/>
      <c r="N127" s="17"/>
      <c r="O127" s="17"/>
      <c r="P127" s="17"/>
      <c r="Q127" s="17">
        <v>3883500.0000100001</v>
      </c>
      <c r="R127" s="17">
        <f t="shared" si="34"/>
        <v>-3883499.9999899999</v>
      </c>
    </row>
    <row r="128" spans="1:18" s="55" customFormat="1" ht="26.4">
      <c r="A128" s="41"/>
      <c r="B128" s="82" t="s">
        <v>268</v>
      </c>
      <c r="C128" s="41" t="s">
        <v>131</v>
      </c>
      <c r="D128" s="40" t="s">
        <v>132</v>
      </c>
      <c r="E128" s="16" t="s">
        <v>25</v>
      </c>
      <c r="F128" s="16"/>
      <c r="G128" s="16"/>
      <c r="H128" s="15" t="s">
        <v>134</v>
      </c>
      <c r="I128" s="17">
        <v>-2300000</v>
      </c>
      <c r="J128" s="17"/>
      <c r="K128" s="17"/>
      <c r="L128" s="17">
        <f t="shared" si="48"/>
        <v>-2300000</v>
      </c>
      <c r="M128" s="17"/>
      <c r="N128" s="17"/>
      <c r="O128" s="17"/>
      <c r="P128" s="17"/>
      <c r="Q128" s="17">
        <v>1150002.0000100001</v>
      </c>
      <c r="R128" s="17">
        <f t="shared" si="34"/>
        <v>-1149997.9999899999</v>
      </c>
    </row>
    <row r="129" spans="1:18" s="23" customFormat="1" ht="13.2">
      <c r="A129" s="12" t="s">
        <v>135</v>
      </c>
      <c r="B129" s="19"/>
      <c r="C129" s="12"/>
      <c r="D129" s="13"/>
      <c r="E129" s="12"/>
      <c r="F129" s="12"/>
      <c r="G129" s="12"/>
      <c r="H129" s="12"/>
      <c r="I129" s="25">
        <f>+SUBTOTAL(9, I127:I128)</f>
        <v>-10067000</v>
      </c>
      <c r="J129" s="25">
        <f t="shared" ref="J129:R129" si="49">+SUBTOTAL(9, J127:J128)</f>
        <v>0</v>
      </c>
      <c r="K129" s="25">
        <f t="shared" si="49"/>
        <v>0</v>
      </c>
      <c r="L129" s="25">
        <f t="shared" si="49"/>
        <v>-10067000</v>
      </c>
      <c r="M129" s="25">
        <f t="shared" si="49"/>
        <v>0</v>
      </c>
      <c r="N129" s="25">
        <f t="shared" si="49"/>
        <v>0</v>
      </c>
      <c r="O129" s="25">
        <f t="shared" si="49"/>
        <v>0</v>
      </c>
      <c r="P129" s="25">
        <f t="shared" si="49"/>
        <v>0</v>
      </c>
      <c r="Q129" s="25">
        <f t="shared" si="49"/>
        <v>5033502.0000200002</v>
      </c>
      <c r="R129" s="25">
        <f t="shared" si="49"/>
        <v>-5033497.9999799998</v>
      </c>
    </row>
    <row r="130" spans="1:18" s="55" customFormat="1" ht="26.4">
      <c r="A130" s="41" t="s">
        <v>212</v>
      </c>
      <c r="B130" s="82" t="s">
        <v>136</v>
      </c>
      <c r="C130" s="41" t="s">
        <v>137</v>
      </c>
      <c r="D130" s="40" t="s">
        <v>138</v>
      </c>
      <c r="E130" s="16" t="s">
        <v>25</v>
      </c>
      <c r="F130" s="16" t="s">
        <v>139</v>
      </c>
      <c r="G130" s="16" t="s">
        <v>140</v>
      </c>
      <c r="H130" s="15" t="s">
        <v>45</v>
      </c>
      <c r="I130" s="17">
        <v>-5000000</v>
      </c>
      <c r="J130" s="17"/>
      <c r="K130" s="17"/>
      <c r="L130" s="17">
        <f>+I130+J130+K130</f>
        <v>-5000000</v>
      </c>
      <c r="M130" s="17"/>
      <c r="N130" s="17"/>
      <c r="O130" s="17"/>
      <c r="P130" s="17"/>
      <c r="Q130" s="17">
        <v>5000000.0000099996</v>
      </c>
      <c r="R130" s="17">
        <f t="shared" si="34"/>
        <v>9.9996104836463928E-6</v>
      </c>
    </row>
    <row r="131" spans="1:18" s="51" customFormat="1" ht="26.4">
      <c r="A131" s="40" t="s">
        <v>213</v>
      </c>
      <c r="B131" s="77" t="s">
        <v>148</v>
      </c>
      <c r="C131" s="41" t="s">
        <v>137</v>
      </c>
      <c r="D131" s="40" t="s">
        <v>138</v>
      </c>
      <c r="E131" s="16" t="s">
        <v>25</v>
      </c>
      <c r="F131" s="16" t="s">
        <v>149</v>
      </c>
      <c r="G131" s="16" t="s">
        <v>150</v>
      </c>
      <c r="H131" s="16" t="s">
        <v>45</v>
      </c>
      <c r="I131" s="17">
        <v>-700000</v>
      </c>
      <c r="J131" s="17"/>
      <c r="K131" s="17"/>
      <c r="L131" s="17">
        <f>+I131+J131+K131</f>
        <v>-700000</v>
      </c>
      <c r="M131" s="106"/>
      <c r="N131" s="106"/>
      <c r="O131" s="106"/>
      <c r="P131" s="106"/>
      <c r="Q131" s="17">
        <v>675000.00000999996</v>
      </c>
      <c r="R131" s="17">
        <f t="shared" si="34"/>
        <v>-24999.99999000004</v>
      </c>
    </row>
    <row r="132" spans="1:18" s="51" customFormat="1" ht="27">
      <c r="A132" s="40" t="s">
        <v>147</v>
      </c>
      <c r="B132" s="82" t="s">
        <v>148</v>
      </c>
      <c r="C132" s="41" t="s">
        <v>137</v>
      </c>
      <c r="D132" s="40" t="s">
        <v>138</v>
      </c>
      <c r="E132" s="16" t="s">
        <v>25</v>
      </c>
      <c r="F132" s="16" t="s">
        <v>183</v>
      </c>
      <c r="G132" s="16" t="s">
        <v>184</v>
      </c>
      <c r="H132" s="15" t="s">
        <v>215</v>
      </c>
      <c r="I132" s="17">
        <v>0</v>
      </c>
      <c r="J132" s="17">
        <v>-4576306</v>
      </c>
      <c r="K132" s="17"/>
      <c r="L132" s="17">
        <f t="shared" ref="L132:L133" si="50">+I132+J132+K132</f>
        <v>-4576306</v>
      </c>
      <c r="M132" s="106"/>
      <c r="N132" s="106"/>
      <c r="O132" s="17">
        <v>1269869.96</v>
      </c>
      <c r="P132" s="106"/>
      <c r="Q132" s="106"/>
      <c r="R132" s="17">
        <f t="shared" si="34"/>
        <v>-3306436.04</v>
      </c>
    </row>
    <row r="133" spans="1:18" s="51" customFormat="1" ht="26.4">
      <c r="A133" s="41" t="s">
        <v>214</v>
      </c>
      <c r="B133" s="82" t="s">
        <v>148</v>
      </c>
      <c r="C133" s="41" t="s">
        <v>137</v>
      </c>
      <c r="D133" s="40" t="s">
        <v>138</v>
      </c>
      <c r="E133" s="16" t="s">
        <v>25</v>
      </c>
      <c r="F133" s="16" t="s">
        <v>192</v>
      </c>
      <c r="G133" s="16" t="s">
        <v>193</v>
      </c>
      <c r="H133" s="15" t="s">
        <v>45</v>
      </c>
      <c r="I133" s="17">
        <v>0</v>
      </c>
      <c r="J133" s="17">
        <v>-200000</v>
      </c>
      <c r="K133" s="17"/>
      <c r="L133" s="17">
        <f t="shared" si="50"/>
        <v>-200000</v>
      </c>
      <c r="M133" s="106"/>
      <c r="N133" s="106"/>
      <c r="O133" s="17">
        <v>200000</v>
      </c>
      <c r="P133" s="106"/>
      <c r="Q133" s="106"/>
      <c r="R133" s="17">
        <f t="shared" si="34"/>
        <v>0</v>
      </c>
    </row>
    <row r="134" spans="1:18" s="23" customFormat="1" ht="13.2">
      <c r="A134" s="39" t="s">
        <v>151</v>
      </c>
      <c r="B134" s="19"/>
      <c r="C134" s="12"/>
      <c r="D134" s="13"/>
      <c r="E134" s="12"/>
      <c r="F134" s="12"/>
      <c r="G134" s="12"/>
      <c r="H134" s="12"/>
      <c r="I134" s="25">
        <f>+SUBTOTAL(9, I130:I133)</f>
        <v>-5700000</v>
      </c>
      <c r="J134" s="25">
        <f t="shared" ref="J134:R134" si="51">+SUBTOTAL(9, J130:J133)</f>
        <v>-4776306</v>
      </c>
      <c r="K134" s="25">
        <f t="shared" si="51"/>
        <v>0</v>
      </c>
      <c r="L134" s="25">
        <f t="shared" si="51"/>
        <v>-10476306</v>
      </c>
      <c r="M134" s="25">
        <f t="shared" si="51"/>
        <v>0</v>
      </c>
      <c r="N134" s="25">
        <f t="shared" si="51"/>
        <v>0</v>
      </c>
      <c r="O134" s="25">
        <f t="shared" si="51"/>
        <v>1469869.96</v>
      </c>
      <c r="P134" s="25">
        <f t="shared" si="51"/>
        <v>0</v>
      </c>
      <c r="Q134" s="25">
        <f t="shared" si="51"/>
        <v>5675000.0000199992</v>
      </c>
      <c r="R134" s="25">
        <f t="shared" si="51"/>
        <v>-3331436.0399800004</v>
      </c>
    </row>
    <row r="135" spans="1:18" s="55" customFormat="1" ht="25.95" customHeight="1">
      <c r="A135" s="41" t="s">
        <v>152</v>
      </c>
      <c r="B135" s="82" t="s">
        <v>265</v>
      </c>
      <c r="C135" s="41" t="s">
        <v>153</v>
      </c>
      <c r="D135" s="40" t="s">
        <v>154</v>
      </c>
      <c r="E135" s="16" t="s">
        <v>25</v>
      </c>
      <c r="F135" s="16" t="s">
        <v>19</v>
      </c>
      <c r="G135" s="16" t="s">
        <v>19</v>
      </c>
      <c r="H135" s="15" t="s">
        <v>155</v>
      </c>
      <c r="I135" s="17">
        <v>-5047703.0000000009</v>
      </c>
      <c r="J135" s="17"/>
      <c r="K135" s="17"/>
      <c r="L135" s="17">
        <f t="shared" ref="L135:L136" si="52">+I135+J135+K135</f>
        <v>-5047703.0000000009</v>
      </c>
      <c r="M135" s="17"/>
      <c r="N135" s="17"/>
      <c r="O135" s="17"/>
      <c r="P135" s="17"/>
      <c r="Q135" s="17">
        <v>2494004.0000100001</v>
      </c>
      <c r="R135" s="17">
        <f t="shared" si="34"/>
        <v>-2553698.9999900009</v>
      </c>
    </row>
    <row r="136" spans="1:18" s="55" customFormat="1" ht="26.4">
      <c r="A136" s="41"/>
      <c r="B136" s="82" t="s">
        <v>266</v>
      </c>
      <c r="C136" s="41" t="s">
        <v>153</v>
      </c>
      <c r="D136" s="40" t="s">
        <v>154</v>
      </c>
      <c r="E136" s="16" t="s">
        <v>25</v>
      </c>
      <c r="F136" s="16"/>
      <c r="G136" s="16"/>
      <c r="H136" s="15" t="s">
        <v>156</v>
      </c>
      <c r="I136" s="17">
        <v>-33528942.000089999</v>
      </c>
      <c r="J136" s="17"/>
      <c r="K136" s="17">
        <f>48000+70000</f>
        <v>118000</v>
      </c>
      <c r="L136" s="17">
        <f t="shared" si="52"/>
        <v>-33410942.000089999</v>
      </c>
      <c r="M136" s="17"/>
      <c r="N136" s="17"/>
      <c r="O136" s="17">
        <v>-1126467.4261873253</v>
      </c>
      <c r="P136" s="17"/>
      <c r="Q136" s="17">
        <v>16788000.000009999</v>
      </c>
      <c r="R136" s="17">
        <f t="shared" si="34"/>
        <v>-17749409.426267326</v>
      </c>
    </row>
    <row r="137" spans="1:18" s="23" customFormat="1" ht="13.2">
      <c r="A137" s="12" t="s">
        <v>157</v>
      </c>
      <c r="B137" s="18"/>
      <c r="C137" s="12"/>
      <c r="D137" s="13"/>
      <c r="E137" s="12"/>
      <c r="F137" s="12"/>
      <c r="G137" s="12"/>
      <c r="H137" s="12"/>
      <c r="I137" s="25">
        <f>+SUBTOTAL(9, I135:I136)</f>
        <v>-38576645.000090003</v>
      </c>
      <c r="J137" s="25">
        <f t="shared" ref="J137:R137" si="53">+SUBTOTAL(9, J135:J136)</f>
        <v>0</v>
      </c>
      <c r="K137" s="25">
        <f t="shared" si="53"/>
        <v>118000</v>
      </c>
      <c r="L137" s="25">
        <f t="shared" si="53"/>
        <v>-38458645.000090003</v>
      </c>
      <c r="M137" s="25">
        <f t="shared" si="53"/>
        <v>0</v>
      </c>
      <c r="N137" s="25">
        <f t="shared" si="53"/>
        <v>0</v>
      </c>
      <c r="O137" s="25">
        <f t="shared" si="53"/>
        <v>-1126467.4261873253</v>
      </c>
      <c r="P137" s="25">
        <f t="shared" si="53"/>
        <v>0</v>
      </c>
      <c r="Q137" s="25">
        <f t="shared" si="53"/>
        <v>19282004.000019997</v>
      </c>
      <c r="R137" s="25">
        <f t="shared" si="53"/>
        <v>-20303108.426257327</v>
      </c>
    </row>
    <row r="138" spans="1:18" s="51" customFormat="1" ht="27">
      <c r="A138" s="41" t="s">
        <v>159</v>
      </c>
      <c r="B138" s="77" t="s">
        <v>158</v>
      </c>
      <c r="C138" s="41" t="s">
        <v>153</v>
      </c>
      <c r="D138" s="40" t="s">
        <v>154</v>
      </c>
      <c r="E138" s="107" t="s">
        <v>25</v>
      </c>
      <c r="F138" s="108"/>
      <c r="G138" s="108"/>
      <c r="H138" s="15" t="s">
        <v>161</v>
      </c>
      <c r="I138" s="17">
        <v>-1099866.9999899999</v>
      </c>
      <c r="J138" s="17"/>
      <c r="K138" s="17">
        <f>-48000-70000</f>
        <v>-118000</v>
      </c>
      <c r="L138" s="17">
        <f>+I138+J138+K138</f>
        <v>-1217866.9999899999</v>
      </c>
      <c r="M138" s="106"/>
      <c r="N138" s="106"/>
      <c r="O138" s="106"/>
      <c r="P138" s="106"/>
      <c r="Q138" s="106"/>
      <c r="R138" s="17">
        <f t="shared" si="34"/>
        <v>-1217866.9999899999</v>
      </c>
    </row>
    <row r="139" spans="1:18" s="23" customFormat="1" ht="13.2">
      <c r="A139" s="39" t="s">
        <v>160</v>
      </c>
      <c r="B139" s="18"/>
      <c r="C139" s="12"/>
      <c r="D139" s="13"/>
      <c r="E139" s="12"/>
      <c r="F139" s="12"/>
      <c r="G139" s="12"/>
      <c r="H139" s="12"/>
      <c r="I139" s="25">
        <f>+SUBTOTAL(9, I138)</f>
        <v>-1099866.9999899999</v>
      </c>
      <c r="J139" s="25">
        <f t="shared" ref="J139:R139" si="54">+SUBTOTAL(9, J138)</f>
        <v>0</v>
      </c>
      <c r="K139" s="25">
        <f t="shared" si="54"/>
        <v>-118000</v>
      </c>
      <c r="L139" s="25">
        <f t="shared" si="54"/>
        <v>-1217866.9999899999</v>
      </c>
      <c r="M139" s="25">
        <f t="shared" si="54"/>
        <v>0</v>
      </c>
      <c r="N139" s="25">
        <f t="shared" si="54"/>
        <v>0</v>
      </c>
      <c r="O139" s="25">
        <f t="shared" si="54"/>
        <v>0</v>
      </c>
      <c r="P139" s="25">
        <f t="shared" si="54"/>
        <v>0</v>
      </c>
      <c r="Q139" s="25">
        <f t="shared" si="54"/>
        <v>0</v>
      </c>
      <c r="R139" s="25">
        <f t="shared" si="54"/>
        <v>-1217866.9999899999</v>
      </c>
    </row>
    <row r="140" spans="1:18" s="23" customFormat="1" ht="52.8">
      <c r="A140" s="40" t="s">
        <v>251</v>
      </c>
      <c r="B140" s="98"/>
      <c r="C140" s="41" t="s">
        <v>153</v>
      </c>
      <c r="D140" s="40" t="s">
        <v>154</v>
      </c>
      <c r="E140" s="107" t="s">
        <v>25</v>
      </c>
      <c r="F140" s="16" t="s">
        <v>254</v>
      </c>
      <c r="G140" s="16" t="s">
        <v>255</v>
      </c>
      <c r="H140" s="15" t="s">
        <v>253</v>
      </c>
      <c r="I140" s="97"/>
      <c r="J140" s="97"/>
      <c r="K140" s="97"/>
      <c r="L140" s="17">
        <v>0</v>
      </c>
      <c r="M140" s="17"/>
      <c r="N140" s="17"/>
      <c r="O140" s="17">
        <v>-825824.27</v>
      </c>
      <c r="P140" s="17"/>
      <c r="Q140" s="17"/>
      <c r="R140" s="17">
        <f t="shared" si="34"/>
        <v>-825824.27</v>
      </c>
    </row>
    <row r="141" spans="1:18" s="23" customFormat="1" ht="13.2">
      <c r="A141" s="39" t="s">
        <v>252</v>
      </c>
      <c r="B141" s="18"/>
      <c r="C141" s="12"/>
      <c r="D141" s="13"/>
      <c r="E141" s="12"/>
      <c r="F141" s="12"/>
      <c r="G141" s="12"/>
      <c r="H141" s="12"/>
      <c r="I141" s="25">
        <f t="shared" ref="I141:K141" si="55">+SUBTOTAL(9, I140)</f>
        <v>0</v>
      </c>
      <c r="J141" s="25">
        <f t="shared" si="55"/>
        <v>0</v>
      </c>
      <c r="K141" s="25">
        <f t="shared" si="55"/>
        <v>0</v>
      </c>
      <c r="L141" s="25">
        <f>+SUBTOTAL(9, L140)</f>
        <v>0</v>
      </c>
      <c r="M141" s="25">
        <f t="shared" ref="M141:R141" si="56">+SUBTOTAL(9, M140)</f>
        <v>0</v>
      </c>
      <c r="N141" s="25">
        <f t="shared" si="56"/>
        <v>0</v>
      </c>
      <c r="O141" s="25">
        <f t="shared" si="56"/>
        <v>-825824.27</v>
      </c>
      <c r="P141" s="25">
        <f t="shared" si="56"/>
        <v>0</v>
      </c>
      <c r="Q141" s="25">
        <f t="shared" si="56"/>
        <v>0</v>
      </c>
      <c r="R141" s="25">
        <f t="shared" si="56"/>
        <v>-825824.27</v>
      </c>
    </row>
    <row r="142" spans="1:18" s="51" customFormat="1" ht="25.95" customHeight="1">
      <c r="A142" s="58" t="s">
        <v>141</v>
      </c>
      <c r="B142" s="82" t="s">
        <v>142</v>
      </c>
      <c r="C142" s="41" t="s">
        <v>53</v>
      </c>
      <c r="D142" s="40" t="s">
        <v>54</v>
      </c>
      <c r="E142" s="16" t="s">
        <v>25</v>
      </c>
      <c r="F142" s="108"/>
      <c r="G142" s="108"/>
      <c r="H142" s="15" t="s">
        <v>143</v>
      </c>
      <c r="I142" s="17">
        <v>-185000</v>
      </c>
      <c r="J142" s="17"/>
      <c r="K142" s="17"/>
      <c r="L142" s="17">
        <f t="shared" ref="L142:L143" si="57">+I142+J142+K142</f>
        <v>-185000</v>
      </c>
      <c r="M142" s="106"/>
      <c r="N142" s="106"/>
      <c r="O142" s="106"/>
      <c r="P142" s="106"/>
      <c r="Q142" s="106"/>
      <c r="R142" s="17">
        <f t="shared" si="34"/>
        <v>-185000</v>
      </c>
    </row>
    <row r="143" spans="1:18" ht="14.4" customHeight="1">
      <c r="A143" s="27"/>
      <c r="B143" s="74" t="s">
        <v>144</v>
      </c>
      <c r="C143" s="129" t="s">
        <v>145</v>
      </c>
      <c r="D143" s="129"/>
      <c r="E143" s="16" t="s">
        <v>25</v>
      </c>
      <c r="F143" s="108"/>
      <c r="G143" s="108"/>
      <c r="H143" s="16" t="s">
        <v>37</v>
      </c>
      <c r="I143" s="17">
        <v>-468000</v>
      </c>
      <c r="J143" s="17"/>
      <c r="K143" s="17"/>
      <c r="L143" s="17">
        <f t="shared" si="57"/>
        <v>-468000</v>
      </c>
      <c r="M143" s="106"/>
      <c r="N143" s="106"/>
      <c r="O143" s="106"/>
      <c r="P143" s="106"/>
      <c r="Q143" s="17">
        <v>326500</v>
      </c>
      <c r="R143" s="17">
        <f t="shared" si="34"/>
        <v>-141500</v>
      </c>
    </row>
    <row r="144" spans="1:18">
      <c r="A144" s="28" t="s">
        <v>146</v>
      </c>
      <c r="B144" s="76"/>
      <c r="C144" s="36"/>
      <c r="D144" s="36"/>
      <c r="E144" s="36"/>
      <c r="F144" s="36"/>
      <c r="G144" s="36"/>
      <c r="H144" s="36"/>
      <c r="I144" s="37">
        <f>+SUBTOTAL(9, I142:I143)</f>
        <v>-653000</v>
      </c>
      <c r="J144" s="37">
        <f t="shared" ref="J144:R144" si="58">+SUBTOTAL(9, J142:J143)</f>
        <v>0</v>
      </c>
      <c r="K144" s="37">
        <f t="shared" si="58"/>
        <v>0</v>
      </c>
      <c r="L144" s="37">
        <f t="shared" si="58"/>
        <v>-653000</v>
      </c>
      <c r="M144" s="37">
        <f t="shared" si="58"/>
        <v>0</v>
      </c>
      <c r="N144" s="37">
        <f t="shared" si="58"/>
        <v>0</v>
      </c>
      <c r="O144" s="37">
        <f t="shared" si="58"/>
        <v>0</v>
      </c>
      <c r="P144" s="37">
        <f t="shared" si="58"/>
        <v>0</v>
      </c>
      <c r="Q144" s="37">
        <f t="shared" si="58"/>
        <v>326500</v>
      </c>
      <c r="R144" s="37">
        <f t="shared" si="58"/>
        <v>-326500</v>
      </c>
    </row>
    <row r="145" spans="1:18" ht="26.4">
      <c r="A145" s="108"/>
      <c r="B145" s="84" t="s">
        <v>276</v>
      </c>
      <c r="C145" s="41" t="s">
        <v>271</v>
      </c>
      <c r="D145" s="40" t="s">
        <v>272</v>
      </c>
      <c r="E145" s="16" t="s">
        <v>25</v>
      </c>
      <c r="F145" s="16" t="s">
        <v>269</v>
      </c>
      <c r="G145" s="16" t="s">
        <v>270</v>
      </c>
      <c r="H145" s="15" t="s">
        <v>37</v>
      </c>
      <c r="I145" s="108"/>
      <c r="J145" s="108"/>
      <c r="K145" s="108"/>
      <c r="L145" s="112"/>
      <c r="M145" s="108"/>
      <c r="N145" s="108"/>
      <c r="O145" s="108"/>
      <c r="P145" s="108"/>
      <c r="Q145" s="17">
        <v>-150000</v>
      </c>
      <c r="R145" s="17">
        <f t="shared" si="34"/>
        <v>-150000</v>
      </c>
    </row>
    <row r="146" spans="1:18" ht="26.4">
      <c r="A146" s="108"/>
      <c r="B146" s="84" t="s">
        <v>277</v>
      </c>
      <c r="C146" s="41" t="s">
        <v>273</v>
      </c>
      <c r="D146" s="40" t="s">
        <v>274</v>
      </c>
      <c r="E146" s="16" t="s">
        <v>25</v>
      </c>
      <c r="F146" s="16" t="s">
        <v>269</v>
      </c>
      <c r="G146" s="16" t="s">
        <v>270</v>
      </c>
      <c r="H146" s="15" t="s">
        <v>37</v>
      </c>
      <c r="I146" s="108"/>
      <c r="J146" s="108"/>
      <c r="K146" s="108"/>
      <c r="L146" s="112"/>
      <c r="M146" s="108"/>
      <c r="N146" s="108"/>
      <c r="O146" s="108"/>
      <c r="P146" s="108"/>
      <c r="Q146" s="17">
        <v>-100000</v>
      </c>
      <c r="R146" s="17">
        <f t="shared" si="34"/>
        <v>-100000</v>
      </c>
    </row>
    <row r="147" spans="1:18">
      <c r="A147" s="28" t="s">
        <v>275</v>
      </c>
      <c r="B147" s="76"/>
      <c r="C147" s="36"/>
      <c r="D147" s="36"/>
      <c r="E147" s="36"/>
      <c r="F147" s="36"/>
      <c r="G147" s="36"/>
      <c r="H147" s="36"/>
      <c r="I147" s="37">
        <f>+SUBTOTAL(9, I145:I146)</f>
        <v>0</v>
      </c>
      <c r="J147" s="37">
        <f t="shared" ref="J147:R147" si="59">+SUBTOTAL(9, J145:J146)</f>
        <v>0</v>
      </c>
      <c r="K147" s="37">
        <f t="shared" si="59"/>
        <v>0</v>
      </c>
      <c r="L147" s="37">
        <f t="shared" si="59"/>
        <v>0</v>
      </c>
      <c r="M147" s="37">
        <f t="shared" si="59"/>
        <v>0</v>
      </c>
      <c r="N147" s="37">
        <f t="shared" si="59"/>
        <v>0</v>
      </c>
      <c r="O147" s="37">
        <f t="shared" si="59"/>
        <v>0</v>
      </c>
      <c r="P147" s="37">
        <f t="shared" si="59"/>
        <v>0</v>
      </c>
      <c r="Q147" s="37">
        <f t="shared" si="59"/>
        <v>-250000</v>
      </c>
      <c r="R147" s="37">
        <f t="shared" si="59"/>
        <v>-250000</v>
      </c>
    </row>
  </sheetData>
  <autoFilter ref="A18:R147" xr:uid="{F306C644-7FEA-4119-BB74-5BC0BECC31FA}"/>
  <mergeCells count="6">
    <mergeCell ref="L2:R3"/>
    <mergeCell ref="A5:D6"/>
    <mergeCell ref="G11:H11"/>
    <mergeCell ref="A42:C42"/>
    <mergeCell ref="C143:D143"/>
    <mergeCell ref="A118:B118"/>
  </mergeCells>
  <phoneticPr fontId="20" type="noConversion"/>
  <conditionalFormatting sqref="B72">
    <cfRule type="containsText" dxfId="0" priority="1" stopIfTrue="1" operator="containsText" text="suur jama">
      <formula>NOT(ISERROR(SEARCH("suur jama",B72)))</formula>
    </cfRule>
  </conditionalFormatting>
  <pageMargins left="0.31496062992125984" right="0.31496062992125984" top="0.27559055118110237" bottom="0.51181102362204722" header="0.31496062992125984" footer="0.31496062992125984"/>
  <pageSetup paperSize="9" scale="79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8 MKM_toetused</vt:lpstr>
      <vt:lpstr>'Lisa 8 MKM_toetused'!Prindiala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dcterms:created xsi:type="dcterms:W3CDTF">2022-12-30T15:09:08Z</dcterms:created>
  <dcterms:modified xsi:type="dcterms:W3CDTF">2023-08-15T09:14:14Z</dcterms:modified>
</cp:coreProperties>
</file>